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P\Work\IS\Рейтинг кафедр\2024_План\"/>
    </mc:Choice>
  </mc:AlternateContent>
  <xr:revisionPtr revIDLastSave="0" documentId="13_ncr:1_{7549D136-BC4F-4C76-AD96-1DE6966E9950}" xr6:coauthVersionLast="40" xr6:coauthVersionMax="40" xr10:uidLastSave="{00000000-0000-0000-0000-000000000000}"/>
  <bookViews>
    <workbookView xWindow="0" yWindow="0" windowWidth="28800" windowHeight="11385" xr2:uid="{8FDC8E41-EA3B-49E0-9F3D-FB6211A98AAC}"/>
  </bookViews>
  <sheets>
    <sheet name="План" sheetId="1" r:id="rId1"/>
    <sheet name="Розрахунок" sheetId="2" r:id="rId2"/>
  </sheets>
  <definedNames>
    <definedName name="_xlnm.Print_Titles" localSheetId="0">План!$5:$5</definedName>
    <definedName name="_xlnm.Print_Titles" localSheetId="1">Розрахунок!$5:$5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5" i="2" l="1"/>
  <c r="F94" i="2" l="1"/>
  <c r="F11" i="2" s="1"/>
  <c r="C93" i="2"/>
  <c r="F93" i="2" s="1"/>
  <c r="C92" i="2"/>
  <c r="F92" i="2" s="1"/>
  <c r="C91" i="2"/>
  <c r="F91" i="2" s="1"/>
  <c r="C90" i="2"/>
  <c r="F90" i="2" s="1"/>
  <c r="C89" i="2"/>
  <c r="F89" i="2" s="1"/>
  <c r="F88" i="2" l="1"/>
  <c r="F10" i="2" s="1"/>
  <c r="C87" i="2" l="1"/>
  <c r="F87" i="2" s="1"/>
  <c r="C86" i="2"/>
  <c r="F86" i="2" s="1"/>
  <c r="C85" i="2"/>
  <c r="F85" i="2" s="1"/>
  <c r="C84" i="2"/>
  <c r="F84" i="2" s="1"/>
  <c r="C83" i="2"/>
  <c r="F83" i="2" s="1"/>
  <c r="C82" i="2"/>
  <c r="F82" i="2" s="1"/>
  <c r="C81" i="2"/>
  <c r="F81" i="2" s="1"/>
  <c r="C80" i="2"/>
  <c r="F80" i="2" s="1"/>
  <c r="C79" i="2"/>
  <c r="F79" i="2" s="1"/>
  <c r="C78" i="2"/>
  <c r="F78" i="2" s="1"/>
  <c r="C77" i="2"/>
  <c r="F77" i="2" s="1"/>
  <c r="C76" i="2"/>
  <c r="F76" i="2" s="1"/>
  <c r="C75" i="2"/>
  <c r="F75" i="2" s="1"/>
  <c r="C74" i="2"/>
  <c r="F74" i="2" s="1"/>
  <c r="C73" i="2"/>
  <c r="F73" i="2" s="1"/>
  <c r="C72" i="2"/>
  <c r="F72" i="2" s="1"/>
  <c r="C71" i="2"/>
  <c r="F71" i="2" s="1"/>
  <c r="C70" i="2"/>
  <c r="F70" i="2" s="1"/>
  <c r="C69" i="2"/>
  <c r="F69" i="2" s="1"/>
  <c r="C68" i="2"/>
  <c r="F68" i="2" s="1"/>
  <c r="C67" i="2"/>
  <c r="F67" i="2" s="1"/>
  <c r="C66" i="2"/>
  <c r="F66" i="2" s="1"/>
  <c r="C65" i="2"/>
  <c r="F65" i="2" s="1"/>
  <c r="C64" i="2"/>
  <c r="F64" i="2" s="1"/>
  <c r="C63" i="2"/>
  <c r="F63" i="2" s="1"/>
  <c r="C62" i="2"/>
  <c r="F62" i="2" s="1"/>
  <c r="C61" i="2"/>
  <c r="F61" i="2" s="1"/>
  <c r="C60" i="2"/>
  <c r="F60" i="2" s="1"/>
  <c r="C59" i="2"/>
  <c r="F59" i="2" s="1"/>
  <c r="C58" i="2"/>
  <c r="F58" i="2" s="1"/>
  <c r="C57" i="2"/>
  <c r="F57" i="2" s="1"/>
  <c r="C56" i="2"/>
  <c r="F56" i="2" s="1"/>
  <c r="C55" i="2"/>
  <c r="F55" i="2" s="1"/>
  <c r="C54" i="2"/>
  <c r="F54" i="2" s="1"/>
  <c r="F52" i="2"/>
  <c r="C51" i="2"/>
  <c r="F51" i="2" s="1"/>
  <c r="C50" i="2"/>
  <c r="F50" i="2" s="1"/>
  <c r="C49" i="2"/>
  <c r="F49" i="2" s="1"/>
  <c r="C47" i="2"/>
  <c r="F47" i="2" s="1"/>
  <c r="C48" i="2"/>
  <c r="F48" i="2" s="1"/>
  <c r="C46" i="2"/>
  <c r="F46" i="2" s="1"/>
  <c r="C45" i="2"/>
  <c r="F45" i="2" s="1"/>
  <c r="C44" i="2"/>
  <c r="F44" i="2" s="1"/>
  <c r="C43" i="2"/>
  <c r="F43" i="2" s="1"/>
  <c r="C40" i="2"/>
  <c r="F40" i="2" s="1"/>
  <c r="C41" i="2"/>
  <c r="F41" i="2" s="1"/>
  <c r="C42" i="2"/>
  <c r="F42" i="2" s="1"/>
  <c r="C39" i="2"/>
  <c r="F39" i="2" s="1"/>
  <c r="C38" i="2"/>
  <c r="F38" i="2" s="1"/>
  <c r="C37" i="2"/>
  <c r="F37" i="2" s="1"/>
  <c r="F36" i="2"/>
  <c r="C34" i="2"/>
  <c r="F34" i="2" s="1"/>
  <c r="C33" i="2"/>
  <c r="F33" i="2" s="1"/>
  <c r="C32" i="2"/>
  <c r="F32" i="2" s="1"/>
  <c r="C31" i="2"/>
  <c r="F31" i="2" s="1"/>
  <c r="C30" i="2"/>
  <c r="F30" i="2" s="1"/>
  <c r="C28" i="2"/>
  <c r="F28" i="2" s="1"/>
  <c r="C29" i="2"/>
  <c r="F29" i="2" s="1"/>
  <c r="C27" i="2"/>
  <c r="F27" i="2" s="1"/>
  <c r="C26" i="2"/>
  <c r="F26" i="2" s="1"/>
  <c r="C25" i="2"/>
  <c r="F25" i="2" s="1"/>
  <c r="C24" i="2"/>
  <c r="F24" i="2" s="1"/>
  <c r="C23" i="2"/>
  <c r="F23" i="2" s="1"/>
  <c r="C22" i="2"/>
  <c r="F22" i="2" s="1"/>
  <c r="C21" i="2"/>
  <c r="F21" i="2" s="1"/>
  <c r="C20" i="2"/>
  <c r="F20" i="2" s="1"/>
  <c r="C19" i="2"/>
  <c r="F19" i="2" s="1"/>
  <c r="C18" i="2"/>
  <c r="F18" i="2" s="1"/>
  <c r="C17" i="2"/>
  <c r="F17" i="2" s="1"/>
  <c r="C16" i="2"/>
  <c r="F16" i="2" s="1"/>
  <c r="C13" i="2"/>
  <c r="C12" i="2"/>
  <c r="B3" i="2"/>
  <c r="B2" i="2"/>
  <c r="B1" i="2"/>
  <c r="C14" i="2" l="1"/>
  <c r="F53" i="2"/>
  <c r="F9" i="2" s="1"/>
  <c r="F35" i="2"/>
  <c r="F8" i="2" s="1"/>
  <c r="F15" i="2"/>
  <c r="F7" i="2" l="1"/>
  <c r="F6" i="2"/>
</calcChain>
</file>

<file path=xl/sharedStrings.xml><?xml version="1.0" encoding="utf-8"?>
<sst xmlns="http://schemas.openxmlformats.org/spreadsheetml/2006/main" count="396" uniqueCount="308">
  <si>
    <t>Параметр</t>
  </si>
  <si>
    <t>Шифр</t>
  </si>
  <si>
    <t>PR.I.0.01</t>
  </si>
  <si>
    <t>PR.I.0.04</t>
  </si>
  <si>
    <t>Наявність наукового ступеня доктора наук та/або вченого звання професора</t>
  </si>
  <si>
    <t>PR.I.1.01</t>
  </si>
  <si>
    <t>Наявність наукового ступеня доктора філософії/кандидата наук та/або вченого звання доцента</t>
  </si>
  <si>
    <t>PR.I.1.02</t>
  </si>
  <si>
    <t>PR.I.1.04.1</t>
  </si>
  <si>
    <t>PR.I.1.04.2</t>
  </si>
  <si>
    <t>Членство у звітному періоді як експерта наукової ради МОНУ</t>
  </si>
  <si>
    <t>PR.I.1.04.3</t>
  </si>
  <si>
    <t>Членство у звітному періоді як експерта НФДУ</t>
  </si>
  <si>
    <t>PR.I.1.04.4</t>
  </si>
  <si>
    <t>Членство у звітному періоді в НАЗЯВО</t>
  </si>
  <si>
    <t>PR.I.1.04.5</t>
  </si>
  <si>
    <t>PR.I.1.04.6</t>
  </si>
  <si>
    <t>PR.I.1.04.7</t>
  </si>
  <si>
    <t>Наявність сертифіката на рівні не нижче В2, вид. установою із переліку, навед. в дод. до Положення про порядок присвоєння вчених звань у НУЛП</t>
  </si>
  <si>
    <t>PR.I.1.05</t>
  </si>
  <si>
    <t>PR.I.1.06</t>
  </si>
  <si>
    <t>Членство у редколегії наук. журналу, який входить до МНБД Scopus або Web of Science, у звітному періоді</t>
  </si>
  <si>
    <t>PR.I.1.07.1</t>
  </si>
  <si>
    <t>Рецензування наук. журналу, який входить до МНБД Scopus або Web of Science, у звітному періоді</t>
  </si>
  <si>
    <t>PR.I.1.07.2</t>
  </si>
  <si>
    <t>Захист дисертації на здобуття наук. ступеня д-ра філософії/канд. наук у звітному періоді у встановлений термін</t>
  </si>
  <si>
    <t>PR.I.1.08.1</t>
  </si>
  <si>
    <t>Захист дисертації на здобуття наук. ступеня д-ра філософії/канд. наук у звітному періоді після встановленого терміну</t>
  </si>
  <si>
    <t>PR.I.1.08.2</t>
  </si>
  <si>
    <t>Захист дисертації на здобуття наук. ступеня д-ра наук у звітному періоді</t>
  </si>
  <si>
    <t>PR.I.1.10</t>
  </si>
  <si>
    <t>Отримання у звітному періоді держ. премії (в галузі науки і техніки, освіти, архітектури)</t>
  </si>
  <si>
    <t>PR.I.1.11.1</t>
  </si>
  <si>
    <t>Отримання у звітному періоді премії НАНУ</t>
  </si>
  <si>
    <t>PR.I.1.11.10</t>
  </si>
  <si>
    <t>Отримання у звітному періоді гранту Президента України</t>
  </si>
  <si>
    <t>PR.I.1.11.2</t>
  </si>
  <si>
    <t>Отримання у звітному періоді стипендії Президента України</t>
  </si>
  <si>
    <t>PR.I.1.11.3</t>
  </si>
  <si>
    <t>Отримання у звітному періоді премії Президента України</t>
  </si>
  <si>
    <t>PR.I.1.11.4</t>
  </si>
  <si>
    <t>Отримання у звітному періоді стипендії ВРУ</t>
  </si>
  <si>
    <t>PR.I.1.11.5</t>
  </si>
  <si>
    <t>Отримання у звітному періоді премії ВРУ</t>
  </si>
  <si>
    <t>PR.I.1.11.6</t>
  </si>
  <si>
    <t>Отримання у звітному періоді стипендії КМУ</t>
  </si>
  <si>
    <t>PR.I.1.11.7</t>
  </si>
  <si>
    <t>Отримання у звітному періоді премії КМУ</t>
  </si>
  <si>
    <t>PR.I.1.11.8</t>
  </si>
  <si>
    <t>Отримання у звітному періоді стипендії НАНУ</t>
  </si>
  <si>
    <t>PR.I.1.11.9</t>
  </si>
  <si>
    <t>PR.I.2.01</t>
  </si>
  <si>
    <t>К-сть призових місць (од.), які у зв.періоді посіли студенти ДФН під керівництвом НПП/НП у ІІ етапі Всеукр. конкурсу студент. наук. робіт</t>
  </si>
  <si>
    <t>PR.I.2.02.1</t>
  </si>
  <si>
    <t>К-сть призових місць (од.), які у зв.періоді посіли студенти ДФН під керівництвом НПП/НП у ІІ етапі Всеукр. конкурсу дипломних робіт</t>
  </si>
  <si>
    <t>PR.I.2.02.2</t>
  </si>
  <si>
    <t>К-сть призових місць (од.), які у зв.періоді посіли студенти ДФН під керівництвом НПП/НП у ІІ етапі Всеукр. студ.олімпіади з дисципліни та/або спеціальності</t>
  </si>
  <si>
    <t>PR.I.2.02.3</t>
  </si>
  <si>
    <t>К-сть призових місць (од.), які у зв.періоді посіли студенти ДФН під керівництвом НПП/НП у Всеукр. творчому конкурсі</t>
  </si>
  <si>
    <t>PR.I.2.02.4</t>
  </si>
  <si>
    <t>К-сть призових місць (од.), які у зв.періоді посіли студенти ДФН під керівництвом НПП/НП у міжнародному творчому конкурсі</t>
  </si>
  <si>
    <t>PR.I.2.02.5</t>
  </si>
  <si>
    <t>К-сть призових місць (од.), які у зв.періоді посіли студенти ДФН під керівництвом НПП/НП у Всеукраїнській виставці</t>
  </si>
  <si>
    <t>PR.I.2.02.6</t>
  </si>
  <si>
    <t>К-сть призових місць (од.), які у зв.періоді посіли студенти ДФН під керівництвом НПП/НП у міжнародній виставці</t>
  </si>
  <si>
    <t>PR.I.2.02.7</t>
  </si>
  <si>
    <t>К-сть призових місць (од.), які у зв.періоді посіли студенти ДФН під керівництвом НПП/НП у міжнародній студентській олімпіаді</t>
  </si>
  <si>
    <t>PR.I.2.02.8</t>
  </si>
  <si>
    <t>К-сть призових місць (од.), які у зв.періоді посіли студенти ДФН під керівництвом НПП/НП у міжнародному конкурсі студентських наук. робіт</t>
  </si>
  <si>
    <t>PR.I.2.02.9</t>
  </si>
  <si>
    <t>Кількість навчальних посібників, опублік. у звітному періоді та рекомендованих НМР Львівської політехніки (од., з урах. частки співавторства)</t>
  </si>
  <si>
    <t>PR.I.2.03.1</t>
  </si>
  <si>
    <t>Кількість підручників, опублік. у звітному періоді та рекомендованих НМР Львівської політехніки (од., з урах. частки співавторства)</t>
  </si>
  <si>
    <t>PR.I.2.03.2</t>
  </si>
  <si>
    <t>Кількість практикумів, опублік. у звітному періоді та рекомендованих НМР Львівської політехніки (од., з урах. частки співавторства)</t>
  </si>
  <si>
    <t>PR.I.2.03.3</t>
  </si>
  <si>
    <t>Кількість словників, опублік. у звітному періоді та рекомендованих НМР Львівської політехніки (од., з урах. частки співавторства)</t>
  </si>
  <si>
    <t>PR.I.2.03.4</t>
  </si>
  <si>
    <t>PR.I.2.04</t>
  </si>
  <si>
    <t>Обсяг вартості активів, залучених у зв.періоді на розвиток матер.-техн. бази кафедри від спонсорів, меценатів, благодійників, донорів тощо (грн, з урах. частки участі, погодженої із зав. кафедри)</t>
  </si>
  <si>
    <t>PR.I.2.05</t>
  </si>
  <si>
    <t>Частка навчального навантаження НПП поточного навчального року в середньому навчальному навантаженні НПП поточного навчального року по Університету</t>
  </si>
  <si>
    <t>PR.I.2.10.1</t>
  </si>
  <si>
    <t>Обсяг залученого у зв.періоді фінансування на проведення наук. досліджень за заг. фондом держбюджету (держбюджетні НДР) (грн, з урах. частки участі, погодженої з керівником НДР)</t>
  </si>
  <si>
    <t>PR.I.3.01</t>
  </si>
  <si>
    <t>Обсяг залученого у зв.періоді фінансування на проведення наук. досліджень за спецфондом держбюджету (грн, з урах. частки участі, погодженої з керівником НДР)</t>
  </si>
  <si>
    <t>Обсяг залученого у зв.періоді фінансування на проведення наук. досліджень за спецфондом держбюджету (грн, з урах. погодженої частки участі) - наук.-техн. розробки за держзамовленням</t>
  </si>
  <si>
    <t>PR.I.3.02.1</t>
  </si>
  <si>
    <t>Обсяг залученого у зв.періоді фінансування на проведення наук. досліджень за спецфондом держбюджету (грн, з урах. погодженої частки участі) - НДР за держ. цільовими наук. та наук.-техн. програмами</t>
  </si>
  <si>
    <t>PR.I.3.02.2</t>
  </si>
  <si>
    <t>Обсяг залученого у зв.періоді фінансування на проведення наук. досліджень за спецфондом держбюджету (грн, з урах. частки участі, погодженої з керівником НДР) - гранти НФДУ</t>
  </si>
  <si>
    <t>PR.I.3.02.3</t>
  </si>
  <si>
    <t>Обсяг залученого у зв.періоді фінансування на проведення наук. досліджень за спецфондом держбюджету (грн, з урах. частки участі, погодженої з керівником НДР) - гранти Президента України</t>
  </si>
  <si>
    <t>PR.I.3.02.4</t>
  </si>
  <si>
    <t>Обсяг залученого у зв.періоді фінансування на проведення наук. досліджень за спецфондом держбюджету (грн, з урах. частки участі, погодженої з керівником НДР) - госпдоговори</t>
  </si>
  <si>
    <t>PR.I.3.02.5</t>
  </si>
  <si>
    <t>Обсяг залученого у зв.періоді фінансування на проведення наук. досліджень за спецфондом держбюджету (грн, з урах. частки участі, погодженої з керівником НДР) - індив. міжнар. гранти</t>
  </si>
  <si>
    <t>PR.I.3.02.6</t>
  </si>
  <si>
    <t>Обсяг залученого у зв.періоді фінансування на проведення наук. досліджень за спецфондом держбюджету (грн, з урах. частки участі, погодженої з керівником НДР) - колективні міжнар. гранти</t>
  </si>
  <si>
    <t>PR.I.3.02.7</t>
  </si>
  <si>
    <t>PR.I.3.03</t>
  </si>
  <si>
    <t>Кількість статей, опублік. у звітному періоді у фахових виданнях України (крім Scopus та Web of Science) (од., з урах. частки співавторства)</t>
  </si>
  <si>
    <t>PR.I.3.04</t>
  </si>
  <si>
    <t>Кількість статей, опублік. у звітному періоді у періодичних виданнях, що входять до МНБД Scopus або Web of Science (од., з урах. частки співавторства) - квартиль Q1</t>
  </si>
  <si>
    <t>PR.I.3.05.1</t>
  </si>
  <si>
    <t>Кількість статей, опублік. у звітному періоді у періодичних виданнях, що входять до МНБД Scopus або Web of Science (од., з урах. частки співавторства) - квартиль Q2</t>
  </si>
  <si>
    <t>PR.I.3.05.2</t>
  </si>
  <si>
    <t>Кількість статей, опублік. у звітному періоді у періодичних виданнях, що входять до МНБД Scopus або Web of Science (од., з урах. частки співавторства) - квартиль Q3</t>
  </si>
  <si>
    <t>PR.I.3.05.3</t>
  </si>
  <si>
    <t>Кількість статей, опублік. у звітному періоді у періодичних виданнях, що входять до МНБД Scopus або Web of Science (од., з урах. частки співавторства) - квартиль Q4</t>
  </si>
  <si>
    <t>PR.I.3.05.4</t>
  </si>
  <si>
    <t>Кількість статей, опублік. у звітному періоді у періодичних виданнях, що входять до МНБД Scopus або Web of Science (од., з урах. частки співавторства) - жоден з квартилів</t>
  </si>
  <si>
    <t>PR.I.3.05.5</t>
  </si>
  <si>
    <t>К-сть статей НПП каф. у виданнях, що входять до міжнародних НМБД Scopus або Web of Science - журнали Science або Nature</t>
  </si>
  <si>
    <t>PR.I.3.05.6</t>
  </si>
  <si>
    <t>Кількість матеріалів конференцій, опублік. у звітному періоді у виданнях, що входять до МНБД Scopus або Web of Science (од., з урах. частки співавторства)</t>
  </si>
  <si>
    <t>PR.I.3.06</t>
  </si>
  <si>
    <t>Кількість статей, опублік. у звітному періоді студентами під керівництвом НПП / НП (од., з урах. частки співавторства) - у фахових виданнях</t>
  </si>
  <si>
    <t>PR.I.3.07.1</t>
  </si>
  <si>
    <t>К-сть наук. статей, опубл. студентами у фахових виданнях під керівництвом НПП каф. (в т.ч. у співавторстві з НПП каф.) у журналах Science та Nature</t>
  </si>
  <si>
    <t>PR.I.3.07.2</t>
  </si>
  <si>
    <t>PR.I.3.07.3</t>
  </si>
  <si>
    <t>PR.I.3.07.4</t>
  </si>
  <si>
    <t>PR.I.3.07.5</t>
  </si>
  <si>
    <t>PR.I.3.07.6</t>
  </si>
  <si>
    <t>PR.I.3.07.7</t>
  </si>
  <si>
    <t>К-сть заявок, поданих у зв.періоді, зареєстр. у відділі НОСНД НДЧ (од., з урах. частки співавторства) - індивід. грантів</t>
  </si>
  <si>
    <t>PR.I.3.08.1</t>
  </si>
  <si>
    <t>К-сть заявок, поданих у зв.періоді, зареєстр. у відділі НОСНД НДЧ (од., з урах. частки співавторства) - індивід. міжнародних стипендій</t>
  </si>
  <si>
    <t>PR.I.3.08.2</t>
  </si>
  <si>
    <t>К-сть заявок, поданих у зв.періоді, зареєстр. у відділі НОСНД НДЧ (од., з урах. співавторства) - колект. вітчизн. проєктів, поданих для участі у І ет. конкурсу (для конкурсів у два етапи, перший–у ЛП)</t>
  </si>
  <si>
    <t>PR.I.3.08.3</t>
  </si>
  <si>
    <t>PR.I.3.08.4</t>
  </si>
  <si>
    <t>К-сть заявок, поданих у зв.періоді, зареєстр. у відділі НОСНД НДЧ (од., з урах. частки співавторства) - колект. міжнародних проєктів (крім Horizon)</t>
  </si>
  <si>
    <t>PR.I.3.08.5</t>
  </si>
  <si>
    <t>К-сть заявок, поданих у зв.періоді, зареєстр. у відділі НОСНД НДЧ (од., з урах. частки співавторства) - проєктів програми Horizon</t>
  </si>
  <si>
    <t>PR.I.3.08.6</t>
  </si>
  <si>
    <t>PR.I.3.09.1</t>
  </si>
  <si>
    <t>PR.I.3.09.2</t>
  </si>
  <si>
    <t>PR.I.3.09.3</t>
  </si>
  <si>
    <t>PR.I.3.10.1</t>
  </si>
  <si>
    <t>PR.I.3.10.2</t>
  </si>
  <si>
    <t>PR.I.3.10.3</t>
  </si>
  <si>
    <t>PR.I.3.13</t>
  </si>
  <si>
    <t>PR.I.4.05.1</t>
  </si>
  <si>
    <t>PR.I.4.05.2</t>
  </si>
  <si>
    <t>Обсяг коштів, залучених у звітному періоді до спецфонду за колективними міжнар. освітніми грантами та проєктами (грн, з урах. частки участі, погодженої з керівником гранту/проєкту)</t>
  </si>
  <si>
    <t>PR.I.4.06</t>
  </si>
  <si>
    <t>PR.I.4.08.1</t>
  </si>
  <si>
    <t>PR.I.4.09</t>
  </si>
  <si>
    <t>Проведення у звітному періоді профорієнтаційних та маркетингових заходів для школярів (од., з урах. частки участі, погодженої із зав. кафедри) - олімпіад із загальноосвітніх предметів</t>
  </si>
  <si>
    <t>PR.I.5.01.1</t>
  </si>
  <si>
    <t>Проведення у звітному періоді профорієнтаційних та маркетингових заходів для школярів (од., з урах. погодженої частки участі) - заходів за участю успішних випускників та/або роботодавців</t>
  </si>
  <si>
    <t>PR.I.5.01.2</t>
  </si>
  <si>
    <t>Проведення у звітному періоді профорієнтаційних та маркетингових заходів для школярів (од., з урах. частки участі, погодженої із зав. кафедри) - заходів (гуртків, вебінарів) у межах ІННЦПКО</t>
  </si>
  <si>
    <t>PR.I.5.01.3</t>
  </si>
  <si>
    <t>Запровадження у звітному періоді програм «Літня школа» та/або «Зимова школа» (у т.ч. в межах міжнар. освітніх грантів) (од., з урах. частки участі, погодженої із зав. кафедри)</t>
  </si>
  <si>
    <t>PR.I.5.02</t>
  </si>
  <si>
    <t>Упровадження у звітному періоді інноваційних освітніх програм для підготовки фахівців (од., з урах. частки участі, погодженої із зав. кафедри)</t>
  </si>
  <si>
    <t>PR.I.5.03</t>
  </si>
  <si>
    <t>Підготовка та подання у зв.періоді проєктів на міжнар. гранти, які передбачають розвиток наук. інфраструктури (од., з урах. частки участі, погодженої із зав. кафедри)</t>
  </si>
  <si>
    <t>PR.I.5.04</t>
  </si>
  <si>
    <t>Інститут</t>
  </si>
  <si>
    <t>Кафедра</t>
  </si>
  <si>
    <t>Працівник (прізвище, ім'я, по батькові)</t>
  </si>
  <si>
    <t>Кадровий потенціал</t>
  </si>
  <si>
    <t>Членство у звітному періоді у науково-методичних комісіях (НМК) МОНу</t>
  </si>
  <si>
    <t>Членство у звітному періоді в експертних радах (ЕР) МОНу</t>
  </si>
  <si>
    <t>Членство у звітному періоді в галузевій експертній раді НАЗЯВО</t>
  </si>
  <si>
    <t>Підвищення кваліфікації (у межах проф. діяльності або галузі знань) у звітному періоді у закордонних ЗВО, підприємствах, установах не менше 5 роб. днів (на підставі наказів про відрядження)</t>
  </si>
  <si>
    <t>Освітня діяльність</t>
  </si>
  <si>
    <t>Наукова діяльність</t>
  </si>
  <si>
    <t>Міжнародна академічна співпраця</t>
  </si>
  <si>
    <t>Викладання у звітному періоді в закордонних ЗВО за програмою академ. мобільності упродовж терміну не менше 5 роб. днів</t>
  </si>
  <si>
    <t>Додаткові показники</t>
  </si>
  <si>
    <t>PR.I.5.05</t>
  </si>
  <si>
    <t>PR.I.1.04.8</t>
  </si>
  <si>
    <t>Членство у звітному періоді у постійно діючій спеціалізованій вченій раді</t>
  </si>
  <si>
    <t>Членство у звітному періоді у разовій спеціалізованій вченій раді</t>
  </si>
  <si>
    <t>Коефіцієнт k (середнє арифметичне між к-стю ШО на 15 травня і на 15 листопада)</t>
  </si>
  <si>
    <t>Кількість штатних одиниць (ШО), зайнятих штатним працівником (од.) (НПП) станом на 15 листопада звітного року</t>
  </si>
  <si>
    <t>Кількість штатних одиниць (ШО), зайнятих штатним працівником (од.) (НПП) станом на 15 травня звітного року</t>
  </si>
  <si>
    <t>PR.I.0.01.1</t>
  </si>
  <si>
    <t>Кількість навч. дисциплін, які підтверджені англомовним навч.-метод. забезпеченням і викладаються студентам-іноземцям англ. мовою у звітному році (од., з урах. частки участі у проведенні навчальних занять)</t>
  </si>
  <si>
    <t>PR.I.3.10.4</t>
  </si>
  <si>
    <t>PR.I.3.10.5</t>
  </si>
  <si>
    <t>PR.I.3.10.6</t>
  </si>
  <si>
    <t>К-сть монографій мовами країн ОЕСР, рекоменд. ВР НУЛП (іншого ЗВО або наук. установи) чи опублік. видавництвами за кордоном (од., з урах. частки) - виданих у зв.періоді</t>
  </si>
  <si>
    <t>К-сть заявок (од., з урах. частки співавторства), поданих у звітному періоді для участі в індивід. міжнар.освітніх грантах та стипендійних програмах, верифікованих ЦМО</t>
  </si>
  <si>
    <t>К-сть заявок (од., з урах. частки співавторства), поданих у звітному періоді для участі в колективних міжнар. освітніх грантах та проєктах, верифікованих ЦМО</t>
  </si>
  <si>
    <t>Кількість освітніх програм кафедри, акредитованих у звітному році агентством із переліку іноземних акредитаційних агентств чи агентств забезпечення якості ВО, які видають сертифікати про акредитацію, що визнаються в Україні (од., з урахуванням частки участі, погодженої із зав. кафедри)</t>
  </si>
  <si>
    <t>Інше</t>
  </si>
  <si>
    <t>Значення вхідного параметра</t>
  </si>
  <si>
    <t>Індикатор</t>
  </si>
  <si>
    <t>Значення індикатора</t>
  </si>
  <si>
    <t>Нормативне питоме значення індикатора</t>
  </si>
  <si>
    <t>Ваговий Коефіцієнт</t>
  </si>
  <si>
    <t>Стандартизоване значення індикатора</t>
  </si>
  <si>
    <t>Інтегральний індекс результативності НПП</t>
  </si>
  <si>
    <t>PR.II.1</t>
  </si>
  <si>
    <t>PR.RI.1.01</t>
  </si>
  <si>
    <t>PR.RI.1.02</t>
  </si>
  <si>
    <t>Членство у звітному періоді в НМК МОНУ, в ЕК МОНУ, як експерта НР МОНУ, як експерта НФДУ, членство в НАЗЯВО, в галузевій ЕК НАЗЯВО, в постійноій СВР</t>
  </si>
  <si>
    <t>PR.RI.1.08.1</t>
  </si>
  <si>
    <t>PR.RI.1.08.2</t>
  </si>
  <si>
    <t>PR.RI.1.10</t>
  </si>
  <si>
    <t>PR.RI.1.11.1</t>
  </si>
  <si>
    <t>PR.RI.1.11.10</t>
  </si>
  <si>
    <t>PR.RI.1.11.2</t>
  </si>
  <si>
    <t>PR.RI.1.11.3</t>
  </si>
  <si>
    <t>PR.RI.1.11.4</t>
  </si>
  <si>
    <t>PR.RI.1.11.5</t>
  </si>
  <si>
    <t>PR.RI.1.11.6</t>
  </si>
  <si>
    <t>PR.RI.1.11.7</t>
  </si>
  <si>
    <t>PR.RI.1.11.8</t>
  </si>
  <si>
    <t>PR.RI.1.11.9</t>
  </si>
  <si>
    <t>PR.RI.2.01</t>
  </si>
  <si>
    <t>PR.RI.2.02.1</t>
  </si>
  <si>
    <t>PR.RI.2.02.2</t>
  </si>
  <si>
    <t>PR.RI.2.02.3</t>
  </si>
  <si>
    <t>PR.RI.2.02.4</t>
  </si>
  <si>
    <t>PR.RI.2.02.5</t>
  </si>
  <si>
    <t>PR.RI.2.02.6</t>
  </si>
  <si>
    <t>PR.RI.2.02.7</t>
  </si>
  <si>
    <t>PR.RI.2.02.8</t>
  </si>
  <si>
    <t>PR.RI.2.02.9</t>
  </si>
  <si>
    <t>PR.RI.2.03.1</t>
  </si>
  <si>
    <t>PR.RI.2.03.2</t>
  </si>
  <si>
    <t>PR.RI.2.03.3</t>
  </si>
  <si>
    <t>PR.RI.2.03.4</t>
  </si>
  <si>
    <t>PR.RI.2.04</t>
  </si>
  <si>
    <t>PR.RI.2.05</t>
  </si>
  <si>
    <t>PR.RI.2.10.1</t>
  </si>
  <si>
    <t>PR.RI.3.01</t>
  </si>
  <si>
    <t>PR.RI.3.02</t>
  </si>
  <si>
    <t>PR.RI.3.03</t>
  </si>
  <si>
    <t>PR.RI.3.04</t>
  </si>
  <si>
    <t>PR.RI.3.05.1</t>
  </si>
  <si>
    <t>PR.RI.3.05.2</t>
  </si>
  <si>
    <t>PR.RI.3.05.3</t>
  </si>
  <si>
    <t>PR.RI.3.05.4</t>
  </si>
  <si>
    <t>PR.RI.3.05.5</t>
  </si>
  <si>
    <t>PR.RI.3.05.6</t>
  </si>
  <si>
    <t>PR.RI.3.06</t>
  </si>
  <si>
    <t>PR.RI.3.07.1</t>
  </si>
  <si>
    <t>PR.RI.3.07.2</t>
  </si>
  <si>
    <t>PR.RI.3.07.3</t>
  </si>
  <si>
    <t>PR.RI.3.07.4</t>
  </si>
  <si>
    <t>PR.RI.3.07.5</t>
  </si>
  <si>
    <t>PR.RI.3.07.6</t>
  </si>
  <si>
    <t>PR.RI.3.07.7</t>
  </si>
  <si>
    <t>PR.RI.3.08.1</t>
  </si>
  <si>
    <t>PR.RI.3.08.2</t>
  </si>
  <si>
    <t>PR.RI.3.08.3</t>
  </si>
  <si>
    <t>PR.RI.3.08.4</t>
  </si>
  <si>
    <t>PR.RI.3.08.5</t>
  </si>
  <si>
    <t>PR.RI.3.08.6</t>
  </si>
  <si>
    <t>PR.RI.3.09.1</t>
  </si>
  <si>
    <t>PR.RI.3.09.2</t>
  </si>
  <si>
    <t>PR.RI.3.09.3</t>
  </si>
  <si>
    <t>PR.RI.3.10.1</t>
  </si>
  <si>
    <t>PR.RI.3.10.2</t>
  </si>
  <si>
    <t>PR.RI.3.10.3</t>
  </si>
  <si>
    <t>PR.RI.3.13</t>
  </si>
  <si>
    <t>PR.RI.4.05.1</t>
  </si>
  <si>
    <t>PR.RI.4.05.2</t>
  </si>
  <si>
    <t>PR.RI.4.06</t>
  </si>
  <si>
    <t>PR.RI.4.08.1</t>
  </si>
  <si>
    <t>Додатковий індикатор для оцінювання результативності діяльності НПП</t>
  </si>
  <si>
    <t>PR.RI.5.01</t>
  </si>
  <si>
    <t>PR.TI.1</t>
  </si>
  <si>
    <t>PR.TI.2</t>
  </si>
  <si>
    <t>PR.TI.3</t>
  </si>
  <si>
    <t>PR.TI.4</t>
  </si>
  <si>
    <t>PR.TI.5</t>
  </si>
  <si>
    <t>PR.I.R1.04</t>
  </si>
  <si>
    <t>PR.I.R1.05</t>
  </si>
  <si>
    <t>PR.I.R1.06</t>
  </si>
  <si>
    <t>Членство у редколегії/рецензквання наук. журналу, який входить до МНБД Scopus або Web of Science, у звітному періоді</t>
  </si>
  <si>
    <t>PR.RI.1.07</t>
  </si>
  <si>
    <t>Частка дисциплін з навчального навантаження НПП звітного періоду, НМК яких розміщені у ВНС, використовуються студентами  та підтверджені сертифікатами (*приймаємо за 1 при плановому розрахунку)</t>
  </si>
  <si>
    <t>Частка навчального навантаження НПП поточного навчального року в середньому навчальному навантаженні НПП поточного навчального року по Університету  (*приймаємо за 1 при плановому розрахунку)</t>
  </si>
  <si>
    <t>К-сть заявок, подан. у зв.періоді, зареєстр. у ВНОСНД НДЧ (од. з урах. частки) - колект.вітчизн.проєктів, реком. НТР ЛП для участі у ІІ етапі конкурсу та/або подан. на конкурс в межах держпрограм, фондів  (за держ. замовл., за цільов. наук.-техн. програм., конкурсами НФДУ тощо)</t>
  </si>
  <si>
    <t>К-сть монографій мовами країн ОЕСР, рекоменд. ВР НУЛП (іншого ЗВО або наук. установи) чи опублік. видавництвами за кордоном (од., з урах. Частки співавторства) - виданих у зв.періоді</t>
  </si>
  <si>
    <t>К-сть монографій укр.мовою, рекоменд. ВР НУЛП (іншого ЗВО або наук. установи) чи опублік. видавництвами за кордоном (од., з урах. частки співавторства) - виданих у зв.періоді</t>
  </si>
  <si>
    <t>К-сть розділів у колект.монографіях мовами країн ОЕСР, рекоменд. ВР НУЛП (іншого ЗВО або наук.установи) чи опублік. видавництвом за кордоном (од., з урах.частки співавторства) - виданих у зв.періоді</t>
  </si>
  <si>
    <t>К-сть розділів у колект. монографіях укр.мовою, рекоменд. ВР НУЛП (іншого ЗВО або наук.установи) чи опублік. видавництвом за кордоном (од., з урах.частки співавторства) - виданих у зв.періоді</t>
  </si>
  <si>
    <t>К-сть монографій мовами країн ОЕСР, рекоменд. ВР НУЛП (іншого ЗВО або наук.уст.) чи опублік. видавництвом за кордоном (од., з урах.частки співавторства) - проіндекс. Scopus або WoS у зв.періоді</t>
  </si>
  <si>
    <t>К-сть монографій укр.мовою, рекоменд. ВР НУЛП (іншого ЗВО або наук.уст.) чи опублік. видавництвом за кордоном (од., з урах.частки співавторства) - проіндекс. Scopus або WoS у зв.періоді</t>
  </si>
  <si>
    <t>К-сть продан. у зв.періоді ліцензій вартістю &gt;=30 тис.грн на об’єкти права ІВ (патенти, комп.програми, об’єкти авт.правом), власником є НУЛП, авторами - штатні НПП/НП (од., з урах. Частки співавторства)</t>
  </si>
  <si>
    <t>К-сть заявок, подан. у зв.періоді, зареєстр. у ВНОСНД НДЧ (од. з урах. частки співавторства) - колект.вітчизн.проєктів, реком. НТР ЛП для участі у ІІ етапі конкурсу та/або подан. на конкурс в межах держпрограм, фондів  (за держ. замовл., за цільов. наук.-техн. програм., конкурсами НФДУ тощо)</t>
  </si>
  <si>
    <t>Значення h-індексу НПП, у профілі Scopus якого вказана приналежність до Львівської політехніки (од.)</t>
  </si>
  <si>
    <t>К-сть статей, опублік. у зв.періоді студентами під керівництвом НПП (од., з урах. частки співавторства) - у виданнях, що входять до МНБД Scopus або Web of Science - квартиль Q1</t>
  </si>
  <si>
    <t>К-сть статей, опублік. у зв.періоді студентами під керівництвом НПП (од., з урах. частки співавторства) - у виданнях, що входять до МНБД Scopus або Web of Science - квартиль Q2</t>
  </si>
  <si>
    <t>К-сть статей, опублік. у зв.періоді студентами під керівництвом НПП (од., з урах. частки співавторства) - у виданнях, що входять до МНБД Scopus або Web of Science - квартиль Q3</t>
  </si>
  <si>
    <t>К-сть статей, опублік. у зв.періоді студентами під керівництвом НПП (од., з урах. частки співавторства) - у виданнях, що входять до МНБД Scopus або Web of Science - квартиль Q4</t>
  </si>
  <si>
    <t>К-сть статей, опублік. у зв.періоді студентами під керівництвом НПП (од., з урах. частки співавторства) - у виданнях, що входять до МНБД Scopus або Web of Science - жоден з квартилів</t>
  </si>
  <si>
    <t>К-сть об'єктів пром. власності, створених НПП у зв. періоді, власником яких є Львівська політехніка (од., з урах. частки співавторства) - патенти на корисні моделі</t>
  </si>
  <si>
    <t>К-сть об'єктів пром. власності, створених НПП у зв. періоді, власником яких є Львівська політехніка (од., з урах. частки співавторства) - патенти на винаходи</t>
  </si>
  <si>
    <t>К-сть об'єктів пром. власності, створених НПП у зв. періоді, власником яких є Львівська політехніка (од., з урах. частки співавторства) - промислові зразки</t>
  </si>
  <si>
    <t>К-сть заявок (од., з урах. частки співавторства), поданих у звітному періоді для участі в індивідуальних міжнар.освітніх грантах та стипендійних програмах, верифікованих ЦМО</t>
  </si>
  <si>
    <t>PR.RI.3.10.4</t>
  </si>
  <si>
    <t>PR.RI.3.10.5</t>
  </si>
  <si>
    <t>PR.RI.3.10.6</t>
  </si>
  <si>
    <t>PR.RI.4.09</t>
  </si>
  <si>
    <t>К-сть монографій укр.мовою, рекоменд. ВР НУЛП (іншого ЗВО або наук. установи) чи опублік. видавництвами за кордоном (од., з урах.частки співавторства) - виданих у зв.періоді</t>
  </si>
  <si>
    <t>К-сть продан. у зв.періоді ліцензій вартістю &gt;=30 тис.грн на об’єкти права ІВ (патенти, комп.програми, об’єкти авт.правом), власником є НУЛП, авторами - штатні НПП/НП (од., з урах.частки співавторства)</t>
  </si>
  <si>
    <t>Частка дисциплін з навчального навантаження НПП звітного періоду, НМК яких розміщені у ВНС, використовуються студентами  та підтверджені сертифікатами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</si>
</sst>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theme="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2" fontId="1" fillId="2" borderId="0" xfId="0" applyNumberFormat="1" applyFont="1" applyFill="1"/>
    <xf numFmtId="0" fontId="1" fillId="0" borderId="0" xfId="0" applyFont="1" applyAlignment="1">
      <alignment horizontal="right" wrapText="1"/>
    </xf>
    <xf numFmtId="0" fontId="1" fillId="0" borderId="0" xfId="0" applyFont="1" applyFill="1" applyBorder="1"/>
    <xf numFmtId="0" fontId="1" fillId="0" borderId="0" xfId="0" applyFont="1" applyFill="1"/>
    <xf numFmtId="0" fontId="1" fillId="0" borderId="0" xfId="0" applyFont="1" applyFill="1" applyAlignment="1">
      <alignment vertical="top" wrapText="1"/>
    </xf>
    <xf numFmtId="0" fontId="2" fillId="2" borderId="0" xfId="0" applyFont="1" applyFill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2" fontId="1" fillId="0" borderId="0" xfId="0" applyNumberFormat="1" applyFont="1" applyFill="1" applyProtection="1">
      <protection locked="0"/>
    </xf>
    <xf numFmtId="2" fontId="1" fillId="0" borderId="0" xfId="0" applyNumberFormat="1" applyFont="1" applyProtection="1">
      <protection locked="0"/>
    </xf>
    <xf numFmtId="2" fontId="3" fillId="0" borderId="0" xfId="0" applyNumberFormat="1" applyFont="1" applyFill="1" applyProtection="1">
      <protection locked="0"/>
    </xf>
    <xf numFmtId="0" fontId="1" fillId="2" borderId="3" xfId="0" applyFont="1" applyFill="1" applyBorder="1" applyProtection="1">
      <protection locked="0"/>
    </xf>
    <xf numFmtId="0" fontId="1" fillId="0" borderId="4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1" fillId="3" borderId="3" xfId="0" applyFont="1" applyFill="1" applyBorder="1" applyProtection="1">
      <protection locked="0"/>
    </xf>
    <xf numFmtId="0" fontId="4" fillId="0" borderId="1" xfId="0" applyFont="1" applyBorder="1"/>
    <xf numFmtId="0" fontId="4" fillId="0" borderId="5" xfId="0" applyFont="1" applyBorder="1"/>
    <xf numFmtId="0" fontId="4" fillId="2" borderId="1" xfId="0" applyFont="1" applyFill="1" applyBorder="1"/>
    <xf numFmtId="0" fontId="0" fillId="0" borderId="1" xfId="0" applyFont="1" applyBorder="1" applyAlignment="1">
      <alignment wrapText="1"/>
    </xf>
    <xf numFmtId="2" fontId="1" fillId="0" borderId="1" xfId="0" applyNumberFormat="1" applyFont="1" applyBorder="1"/>
    <xf numFmtId="2" fontId="1" fillId="2" borderId="1" xfId="0" applyNumberFormat="1" applyFont="1" applyFill="1" applyBorder="1"/>
    <xf numFmtId="164" fontId="4" fillId="0" borderId="5" xfId="0" applyNumberFormat="1" applyFont="1" applyBorder="1"/>
    <xf numFmtId="0" fontId="0" fillId="0" borderId="6" xfId="0" applyFont="1" applyFill="1" applyBorder="1"/>
    <xf numFmtId="0" fontId="2" fillId="2" borderId="4" xfId="0" applyFont="1" applyFill="1" applyBorder="1" applyAlignment="1">
      <alignment horizontal="center" vertical="top"/>
    </xf>
    <xf numFmtId="2" fontId="2" fillId="2" borderId="1" xfId="0" applyNumberFormat="1" applyFont="1" applyFill="1" applyBorder="1"/>
    <xf numFmtId="0" fontId="5" fillId="2" borderId="1" xfId="0" applyFont="1" applyFill="1" applyBorder="1"/>
    <xf numFmtId="164" fontId="5" fillId="2" borderId="5" xfId="0" applyNumberFormat="1" applyFont="1" applyFill="1" applyBorder="1"/>
    <xf numFmtId="0" fontId="4" fillId="0" borderId="1" xfId="0" applyFont="1" applyFill="1" applyBorder="1"/>
    <xf numFmtId="0" fontId="0" fillId="0" borderId="1" xfId="0" applyFont="1" applyFill="1" applyBorder="1" applyAlignment="1">
      <alignment horizontal="center" vertical="top"/>
    </xf>
    <xf numFmtId="0" fontId="0" fillId="2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7" fillId="4" borderId="1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left" vertical="top" wrapText="1"/>
    </xf>
    <xf numFmtId="2" fontId="2" fillId="6" borderId="1" xfId="0" applyNumberFormat="1" applyFont="1" applyFill="1" applyBorder="1"/>
    <xf numFmtId="0" fontId="5" fillId="6" borderId="1" xfId="0" applyFont="1" applyFill="1" applyBorder="1"/>
    <xf numFmtId="164" fontId="5" fillId="6" borderId="5" xfId="0" applyNumberFormat="1" applyFont="1" applyFill="1" applyBorder="1"/>
    <xf numFmtId="2" fontId="1" fillId="0" borderId="1" xfId="0" applyNumberFormat="1" applyFont="1" applyBorder="1" applyProtection="1">
      <protection locked="0"/>
    </xf>
  </cellXfs>
  <cellStyles count="1">
    <cellStyle name="Normal" xfId="0" builtinId="0"/>
  </cellStyles>
  <dxfs count="5">
    <dxf>
      <font>
        <strike val="0"/>
        <outline val="0"/>
        <shadow val="0"/>
        <u val="none"/>
        <vertAlign val="baseline"/>
        <sz val="12"/>
        <color theme="1"/>
        <name val="Calibri"/>
        <family val="2"/>
        <charset val="204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charset val="204"/>
        <scheme val="minor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charset val="204"/>
        <scheme val="minor"/>
      </font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charset val="204"/>
        <scheme val="minor"/>
      </font>
      <fill>
        <patternFill>
          <bgColor theme="8" tint="0.5999938962981048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5160718-24FB-4AC2-8367-F3AED27E22CF}" name="PR_Plan" displayName="PR_Plan" ref="A5:C108" totalsRowShown="0" headerRowDxfId="4" dataDxfId="3">
  <autoFilter ref="A5:C108" xr:uid="{BCB67DB4-FCBB-40E3-9EEE-A9F6D734B8A2}"/>
  <tableColumns count="3">
    <tableColumn id="2" xr3:uid="{9629B2E0-5AA9-4D42-9460-56681A5F6469}" name="Шифр" dataDxfId="2"/>
    <tableColumn id="1" xr3:uid="{5E459431-4270-4D95-A929-C7826D4AFB95}" name="Параметр" dataDxfId="1"/>
    <tableColumn id="3" xr3:uid="{4DBEBC5B-A964-4454-9A85-F9CAAE83F3D8}" name="Значення вхідного параметра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06F8B-3A11-4E6B-AC83-88EE0CC720FE}">
  <dimension ref="A1:C108"/>
  <sheetViews>
    <sheetView tabSelected="1" workbookViewId="0">
      <pane ySplit="5" topLeftCell="A6" activePane="bottomLeft" state="frozen"/>
      <selection pane="bottomLeft" activeCell="A6" sqref="A6"/>
    </sheetView>
  </sheetViews>
  <sheetFormatPr defaultRowHeight="15.75" x14ac:dyDescent="0.25"/>
  <cols>
    <col min="1" max="1" width="11.7109375" style="2" bestFit="1" customWidth="1"/>
    <col min="2" max="2" width="73.42578125" style="2" customWidth="1"/>
    <col min="3" max="3" width="13.42578125" style="2" customWidth="1"/>
    <col min="4" max="16384" width="9.140625" style="2"/>
  </cols>
  <sheetData>
    <row r="1" spans="1:3" x14ac:dyDescent="0.25">
      <c r="A1" s="1" t="s">
        <v>162</v>
      </c>
      <c r="B1" s="14"/>
      <c r="C1" s="5"/>
    </row>
    <row r="2" spans="1:3" x14ac:dyDescent="0.25">
      <c r="A2" s="1" t="s">
        <v>163</v>
      </c>
      <c r="B2" s="14"/>
      <c r="C2" s="5"/>
    </row>
    <row r="3" spans="1:3" ht="64.5" customHeight="1" x14ac:dyDescent="0.25">
      <c r="A3" s="4" t="s">
        <v>164</v>
      </c>
      <c r="B3" s="14"/>
      <c r="C3" s="5"/>
    </row>
    <row r="5" spans="1:3" ht="59.25" customHeight="1" x14ac:dyDescent="0.25">
      <c r="A5" s="37" t="s">
        <v>1</v>
      </c>
      <c r="B5" s="38" t="s">
        <v>0</v>
      </c>
      <c r="C5" s="38" t="s">
        <v>192</v>
      </c>
    </row>
    <row r="6" spans="1:3" s="6" customFormat="1" ht="31.5" x14ac:dyDescent="0.25">
      <c r="A6" s="33" t="s">
        <v>182</v>
      </c>
      <c r="B6" s="7" t="s">
        <v>181</v>
      </c>
      <c r="C6" s="11">
        <v>1</v>
      </c>
    </row>
    <row r="7" spans="1:3" s="6" customFormat="1" ht="31.5" x14ac:dyDescent="0.25">
      <c r="A7" s="33" t="s">
        <v>2</v>
      </c>
      <c r="B7" s="7" t="s">
        <v>180</v>
      </c>
      <c r="C7" s="11">
        <v>1</v>
      </c>
    </row>
    <row r="8" spans="1:3" s="6" customFormat="1" x14ac:dyDescent="0.25">
      <c r="A8" s="34"/>
      <c r="B8" s="8" t="s">
        <v>165</v>
      </c>
      <c r="C8" s="3"/>
    </row>
    <row r="9" spans="1:3" s="6" customFormat="1" ht="31.5" x14ac:dyDescent="0.25">
      <c r="A9" s="33" t="s">
        <v>5</v>
      </c>
      <c r="B9" s="7" t="s">
        <v>4</v>
      </c>
      <c r="C9" s="11"/>
    </row>
    <row r="10" spans="1:3" s="6" customFormat="1" ht="31.5" x14ac:dyDescent="0.25">
      <c r="A10" s="33" t="s">
        <v>7</v>
      </c>
      <c r="B10" s="7" t="s">
        <v>6</v>
      </c>
      <c r="C10" s="11"/>
    </row>
    <row r="11" spans="1:3" s="6" customFormat="1" ht="23.25" customHeight="1" x14ac:dyDescent="0.25">
      <c r="A11" s="33" t="s">
        <v>8</v>
      </c>
      <c r="B11" s="7" t="s">
        <v>166</v>
      </c>
      <c r="C11" s="11"/>
    </row>
    <row r="12" spans="1:3" s="6" customFormat="1" x14ac:dyDescent="0.25">
      <c r="A12" s="33" t="s">
        <v>9</v>
      </c>
      <c r="B12" s="7" t="s">
        <v>167</v>
      </c>
      <c r="C12" s="11"/>
    </row>
    <row r="13" spans="1:3" s="6" customFormat="1" x14ac:dyDescent="0.25">
      <c r="A13" s="33" t="s">
        <v>11</v>
      </c>
      <c r="B13" s="7" t="s">
        <v>10</v>
      </c>
      <c r="C13" s="11"/>
    </row>
    <row r="14" spans="1:3" s="6" customFormat="1" x14ac:dyDescent="0.25">
      <c r="A14" s="33" t="s">
        <v>13</v>
      </c>
      <c r="B14" s="7" t="s">
        <v>12</v>
      </c>
      <c r="C14" s="11"/>
    </row>
    <row r="15" spans="1:3" s="6" customFormat="1" x14ac:dyDescent="0.25">
      <c r="A15" s="33" t="s">
        <v>15</v>
      </c>
      <c r="B15" s="7" t="s">
        <v>14</v>
      </c>
      <c r="C15" s="11"/>
    </row>
    <row r="16" spans="1:3" s="6" customFormat="1" x14ac:dyDescent="0.25">
      <c r="A16" s="33" t="s">
        <v>16</v>
      </c>
      <c r="B16" s="7" t="s">
        <v>168</v>
      </c>
      <c r="C16" s="11"/>
    </row>
    <row r="17" spans="1:3" s="6" customFormat="1" ht="31.5" x14ac:dyDescent="0.25">
      <c r="A17" s="33" t="s">
        <v>17</v>
      </c>
      <c r="B17" s="7" t="s">
        <v>177</v>
      </c>
      <c r="C17" s="11"/>
    </row>
    <row r="18" spans="1:3" s="6" customFormat="1" x14ac:dyDescent="0.25">
      <c r="A18" s="33" t="s">
        <v>176</v>
      </c>
      <c r="B18" s="7" t="s">
        <v>178</v>
      </c>
      <c r="C18" s="11"/>
    </row>
    <row r="19" spans="1:3" s="6" customFormat="1" ht="47.25" x14ac:dyDescent="0.25">
      <c r="A19" s="35" t="s">
        <v>19</v>
      </c>
      <c r="B19" s="9" t="s">
        <v>18</v>
      </c>
      <c r="C19" s="12"/>
    </row>
    <row r="20" spans="1:3" ht="47.25" x14ac:dyDescent="0.25">
      <c r="A20" s="35" t="s">
        <v>20</v>
      </c>
      <c r="B20" s="9" t="s">
        <v>169</v>
      </c>
      <c r="C20" s="12"/>
    </row>
    <row r="21" spans="1:3" ht="33" customHeight="1" x14ac:dyDescent="0.25">
      <c r="A21" s="35" t="s">
        <v>22</v>
      </c>
      <c r="B21" s="9" t="s">
        <v>21</v>
      </c>
      <c r="C21" s="12"/>
    </row>
    <row r="22" spans="1:3" ht="31.5" x14ac:dyDescent="0.25">
      <c r="A22" s="35" t="s">
        <v>24</v>
      </c>
      <c r="B22" s="9" t="s">
        <v>23</v>
      </c>
      <c r="C22" s="12"/>
    </row>
    <row r="23" spans="1:3" ht="31.5" x14ac:dyDescent="0.25">
      <c r="A23" s="33" t="s">
        <v>26</v>
      </c>
      <c r="B23" s="7" t="s">
        <v>25</v>
      </c>
      <c r="C23" s="11"/>
    </row>
    <row r="24" spans="1:3" ht="31.5" x14ac:dyDescent="0.25">
      <c r="A24" s="33" t="s">
        <v>28</v>
      </c>
      <c r="B24" s="7" t="s">
        <v>27</v>
      </c>
      <c r="C24" s="11"/>
    </row>
    <row r="25" spans="1:3" ht="31.5" x14ac:dyDescent="0.25">
      <c r="A25" s="35" t="s">
        <v>30</v>
      </c>
      <c r="B25" s="9" t="s">
        <v>29</v>
      </c>
      <c r="C25" s="12"/>
    </row>
    <row r="26" spans="1:3" ht="31.5" x14ac:dyDescent="0.25">
      <c r="A26" s="35" t="s">
        <v>32</v>
      </c>
      <c r="B26" s="9" t="s">
        <v>31</v>
      </c>
      <c r="C26" s="12"/>
    </row>
    <row r="27" spans="1:3" x14ac:dyDescent="0.25">
      <c r="A27" s="35" t="s">
        <v>36</v>
      </c>
      <c r="B27" s="9" t="s">
        <v>35</v>
      </c>
      <c r="C27" s="12"/>
    </row>
    <row r="28" spans="1:3" x14ac:dyDescent="0.25">
      <c r="A28" s="35" t="s">
        <v>38</v>
      </c>
      <c r="B28" s="9" t="s">
        <v>37</v>
      </c>
      <c r="C28" s="12"/>
    </row>
    <row r="29" spans="1:3" x14ac:dyDescent="0.25">
      <c r="A29" s="35" t="s">
        <v>40</v>
      </c>
      <c r="B29" s="9" t="s">
        <v>39</v>
      </c>
      <c r="C29" s="12"/>
    </row>
    <row r="30" spans="1:3" x14ac:dyDescent="0.25">
      <c r="A30" s="35" t="s">
        <v>42</v>
      </c>
      <c r="B30" s="9" t="s">
        <v>41</v>
      </c>
      <c r="C30" s="12"/>
    </row>
    <row r="31" spans="1:3" x14ac:dyDescent="0.25">
      <c r="A31" s="35" t="s">
        <v>44</v>
      </c>
      <c r="B31" s="9" t="s">
        <v>43</v>
      </c>
      <c r="C31" s="12"/>
    </row>
    <row r="32" spans="1:3" x14ac:dyDescent="0.25">
      <c r="A32" s="35" t="s">
        <v>46</v>
      </c>
      <c r="B32" s="9" t="s">
        <v>45</v>
      </c>
      <c r="C32" s="12"/>
    </row>
    <row r="33" spans="1:3" x14ac:dyDescent="0.25">
      <c r="A33" s="35" t="s">
        <v>48</v>
      </c>
      <c r="B33" s="9" t="s">
        <v>47</v>
      </c>
      <c r="C33" s="12"/>
    </row>
    <row r="34" spans="1:3" x14ac:dyDescent="0.25">
      <c r="A34" s="35" t="s">
        <v>50</v>
      </c>
      <c r="B34" s="9" t="s">
        <v>49</v>
      </c>
      <c r="C34" s="12"/>
    </row>
    <row r="35" spans="1:3" x14ac:dyDescent="0.25">
      <c r="A35" s="35" t="s">
        <v>34</v>
      </c>
      <c r="B35" s="9" t="s">
        <v>33</v>
      </c>
      <c r="C35" s="12"/>
    </row>
    <row r="36" spans="1:3" x14ac:dyDescent="0.25">
      <c r="A36" s="34"/>
      <c r="B36" s="8" t="s">
        <v>170</v>
      </c>
      <c r="C36" s="3"/>
    </row>
    <row r="37" spans="1:3" ht="47.25" x14ac:dyDescent="0.25">
      <c r="A37" s="35" t="s">
        <v>51</v>
      </c>
      <c r="B37" s="7" t="s">
        <v>307</v>
      </c>
      <c r="C37" s="12"/>
    </row>
    <row r="38" spans="1:3" ht="31.5" x14ac:dyDescent="0.25">
      <c r="A38" s="35" t="s">
        <v>53</v>
      </c>
      <c r="B38" s="9" t="s">
        <v>52</v>
      </c>
      <c r="C38" s="12"/>
    </row>
    <row r="39" spans="1:3" ht="31.5" x14ac:dyDescent="0.25">
      <c r="A39" s="35" t="s">
        <v>55</v>
      </c>
      <c r="B39" s="9" t="s">
        <v>54</v>
      </c>
      <c r="C39" s="12"/>
    </row>
    <row r="40" spans="1:3" ht="47.25" x14ac:dyDescent="0.25">
      <c r="A40" s="35" t="s">
        <v>57</v>
      </c>
      <c r="B40" s="9" t="s">
        <v>56</v>
      </c>
      <c r="C40" s="12"/>
    </row>
    <row r="41" spans="1:3" ht="31.5" x14ac:dyDescent="0.25">
      <c r="A41" s="35" t="s">
        <v>59</v>
      </c>
      <c r="B41" s="9" t="s">
        <v>58</v>
      </c>
      <c r="C41" s="12"/>
    </row>
    <row r="42" spans="1:3" ht="31.5" x14ac:dyDescent="0.25">
      <c r="A42" s="35" t="s">
        <v>61</v>
      </c>
      <c r="B42" s="9" t="s">
        <v>60</v>
      </c>
      <c r="C42" s="12"/>
    </row>
    <row r="43" spans="1:3" ht="31.5" x14ac:dyDescent="0.25">
      <c r="A43" s="35" t="s">
        <v>63</v>
      </c>
      <c r="B43" s="9" t="s">
        <v>62</v>
      </c>
      <c r="C43" s="12"/>
    </row>
    <row r="44" spans="1:3" ht="31.5" x14ac:dyDescent="0.25">
      <c r="A44" s="35" t="s">
        <v>65</v>
      </c>
      <c r="B44" s="9" t="s">
        <v>64</v>
      </c>
      <c r="C44" s="12"/>
    </row>
    <row r="45" spans="1:3" ht="31.5" x14ac:dyDescent="0.25">
      <c r="A45" s="35" t="s">
        <v>67</v>
      </c>
      <c r="B45" s="9" t="s">
        <v>66</v>
      </c>
      <c r="C45" s="12"/>
    </row>
    <row r="46" spans="1:3" ht="47.25" x14ac:dyDescent="0.25">
      <c r="A46" s="35" t="s">
        <v>69</v>
      </c>
      <c r="B46" s="9" t="s">
        <v>68</v>
      </c>
      <c r="C46" s="12"/>
    </row>
    <row r="47" spans="1:3" ht="47.25" x14ac:dyDescent="0.25">
      <c r="A47" s="35" t="s">
        <v>71</v>
      </c>
      <c r="B47" s="9" t="s">
        <v>70</v>
      </c>
      <c r="C47" s="12"/>
    </row>
    <row r="48" spans="1:3" ht="31.5" x14ac:dyDescent="0.25">
      <c r="A48" s="35" t="s">
        <v>73</v>
      </c>
      <c r="B48" s="9" t="s">
        <v>72</v>
      </c>
      <c r="C48" s="12"/>
    </row>
    <row r="49" spans="1:3" ht="31.5" x14ac:dyDescent="0.25">
      <c r="A49" s="35" t="s">
        <v>75</v>
      </c>
      <c r="B49" s="9" t="s">
        <v>74</v>
      </c>
      <c r="C49" s="12"/>
    </row>
    <row r="50" spans="1:3" ht="31.5" x14ac:dyDescent="0.25">
      <c r="A50" s="35" t="s">
        <v>77</v>
      </c>
      <c r="B50" s="9" t="s">
        <v>76</v>
      </c>
      <c r="C50" s="12"/>
    </row>
    <row r="51" spans="1:3" ht="63" x14ac:dyDescent="0.25">
      <c r="A51" s="35" t="s">
        <v>78</v>
      </c>
      <c r="B51" s="7" t="s">
        <v>183</v>
      </c>
      <c r="C51" s="12"/>
    </row>
    <row r="52" spans="1:3" ht="47.25" x14ac:dyDescent="0.25">
      <c r="A52" s="35" t="s">
        <v>80</v>
      </c>
      <c r="B52" s="9" t="s">
        <v>79</v>
      </c>
      <c r="C52" s="12"/>
    </row>
    <row r="53" spans="1:3" ht="47.25" x14ac:dyDescent="0.25">
      <c r="A53" s="35" t="s">
        <v>82</v>
      </c>
      <c r="B53" s="9" t="s">
        <v>81</v>
      </c>
      <c r="C53" s="12"/>
    </row>
    <row r="54" spans="1:3" x14ac:dyDescent="0.25">
      <c r="A54" s="34"/>
      <c r="B54" s="8" t="s">
        <v>171</v>
      </c>
      <c r="C54" s="3"/>
    </row>
    <row r="55" spans="1:3" ht="47.25" x14ac:dyDescent="0.25">
      <c r="A55" s="35" t="s">
        <v>84</v>
      </c>
      <c r="B55" s="9" t="s">
        <v>83</v>
      </c>
      <c r="C55" s="12"/>
    </row>
    <row r="56" spans="1:3" ht="47.25" x14ac:dyDescent="0.25">
      <c r="A56" s="33" t="s">
        <v>87</v>
      </c>
      <c r="B56" s="7" t="s">
        <v>86</v>
      </c>
      <c r="C56" s="11"/>
    </row>
    <row r="57" spans="1:3" ht="63" x14ac:dyDescent="0.25">
      <c r="A57" s="33" t="s">
        <v>89</v>
      </c>
      <c r="B57" s="7" t="s">
        <v>88</v>
      </c>
      <c r="C57" s="11"/>
    </row>
    <row r="58" spans="1:3" ht="47.25" x14ac:dyDescent="0.25">
      <c r="A58" s="33" t="s">
        <v>91</v>
      </c>
      <c r="B58" s="7" t="s">
        <v>90</v>
      </c>
      <c r="C58" s="11"/>
    </row>
    <row r="59" spans="1:3" ht="47.25" x14ac:dyDescent="0.25">
      <c r="A59" s="33" t="s">
        <v>93</v>
      </c>
      <c r="B59" s="7" t="s">
        <v>92</v>
      </c>
      <c r="C59" s="11"/>
    </row>
    <row r="60" spans="1:3" ht="47.25" x14ac:dyDescent="0.25">
      <c r="A60" s="33" t="s">
        <v>95</v>
      </c>
      <c r="B60" s="7" t="s">
        <v>94</v>
      </c>
      <c r="C60" s="11"/>
    </row>
    <row r="61" spans="1:3" ht="47.25" x14ac:dyDescent="0.25">
      <c r="A61" s="33" t="s">
        <v>97</v>
      </c>
      <c r="B61" s="7" t="s">
        <v>96</v>
      </c>
      <c r="C61" s="11"/>
    </row>
    <row r="62" spans="1:3" ht="47.25" x14ac:dyDescent="0.25">
      <c r="A62" s="33" t="s">
        <v>99</v>
      </c>
      <c r="B62" s="7" t="s">
        <v>98</v>
      </c>
      <c r="C62" s="11"/>
    </row>
    <row r="63" spans="1:3" ht="31.5" x14ac:dyDescent="0.25">
      <c r="A63" s="33" t="s">
        <v>100</v>
      </c>
      <c r="B63" s="7" t="s">
        <v>291</v>
      </c>
      <c r="C63" s="11"/>
    </row>
    <row r="64" spans="1:3" ht="47.25" x14ac:dyDescent="0.25">
      <c r="A64" s="33" t="s">
        <v>102</v>
      </c>
      <c r="B64" s="7" t="s">
        <v>101</v>
      </c>
      <c r="C64" s="11"/>
    </row>
    <row r="65" spans="1:3" ht="47.25" x14ac:dyDescent="0.25">
      <c r="A65" s="35" t="s">
        <v>104</v>
      </c>
      <c r="B65" s="9" t="s">
        <v>103</v>
      </c>
      <c r="C65" s="12"/>
    </row>
    <row r="66" spans="1:3" ht="47.25" x14ac:dyDescent="0.25">
      <c r="A66" s="35" t="s">
        <v>106</v>
      </c>
      <c r="B66" s="9" t="s">
        <v>105</v>
      </c>
      <c r="C66" s="12"/>
    </row>
    <row r="67" spans="1:3" ht="47.25" x14ac:dyDescent="0.25">
      <c r="A67" s="35" t="s">
        <v>108</v>
      </c>
      <c r="B67" s="9" t="s">
        <v>107</v>
      </c>
      <c r="C67" s="12"/>
    </row>
    <row r="68" spans="1:3" ht="47.25" x14ac:dyDescent="0.25">
      <c r="A68" s="35" t="s">
        <v>110</v>
      </c>
      <c r="B68" s="9" t="s">
        <v>109</v>
      </c>
      <c r="C68" s="12"/>
    </row>
    <row r="69" spans="1:3" ht="47.25" x14ac:dyDescent="0.25">
      <c r="A69" s="35" t="s">
        <v>112</v>
      </c>
      <c r="B69" s="9" t="s">
        <v>111</v>
      </c>
      <c r="C69" s="12"/>
    </row>
    <row r="70" spans="1:3" ht="31.5" x14ac:dyDescent="0.25">
      <c r="A70" s="35" t="s">
        <v>114</v>
      </c>
      <c r="B70" s="9" t="s">
        <v>113</v>
      </c>
      <c r="C70" s="12"/>
    </row>
    <row r="71" spans="1:3" ht="47.25" x14ac:dyDescent="0.25">
      <c r="A71" s="35" t="s">
        <v>116</v>
      </c>
      <c r="B71" s="9" t="s">
        <v>115</v>
      </c>
      <c r="C71" s="12"/>
    </row>
    <row r="72" spans="1:3" ht="47.25" x14ac:dyDescent="0.25">
      <c r="A72" s="35" t="s">
        <v>118</v>
      </c>
      <c r="B72" s="9" t="s">
        <v>117</v>
      </c>
      <c r="C72" s="12"/>
    </row>
    <row r="73" spans="1:3" ht="47.25" x14ac:dyDescent="0.25">
      <c r="A73" s="35" t="s">
        <v>120</v>
      </c>
      <c r="B73" s="9" t="s">
        <v>119</v>
      </c>
      <c r="C73" s="12"/>
    </row>
    <row r="74" spans="1:3" ht="47.25" x14ac:dyDescent="0.25">
      <c r="A74" s="35" t="s">
        <v>121</v>
      </c>
      <c r="B74" s="9" t="s">
        <v>292</v>
      </c>
      <c r="C74" s="12"/>
    </row>
    <row r="75" spans="1:3" ht="47.25" x14ac:dyDescent="0.25">
      <c r="A75" s="35" t="s">
        <v>122</v>
      </c>
      <c r="B75" s="9" t="s">
        <v>293</v>
      </c>
      <c r="C75" s="12"/>
    </row>
    <row r="76" spans="1:3" ht="47.25" x14ac:dyDescent="0.25">
      <c r="A76" s="35" t="s">
        <v>123</v>
      </c>
      <c r="B76" s="9" t="s">
        <v>294</v>
      </c>
      <c r="C76" s="12"/>
    </row>
    <row r="77" spans="1:3" ht="47.25" x14ac:dyDescent="0.25">
      <c r="A77" s="35" t="s">
        <v>124</v>
      </c>
      <c r="B77" s="9" t="s">
        <v>295</v>
      </c>
      <c r="C77" s="12"/>
    </row>
    <row r="78" spans="1:3" ht="47.25" x14ac:dyDescent="0.25">
      <c r="A78" s="35" t="s">
        <v>125</v>
      </c>
      <c r="B78" s="9" t="s">
        <v>296</v>
      </c>
      <c r="C78" s="12"/>
    </row>
    <row r="79" spans="1:3" ht="31.5" x14ac:dyDescent="0.25">
      <c r="A79" s="35" t="s">
        <v>127</v>
      </c>
      <c r="B79" s="9" t="s">
        <v>126</v>
      </c>
      <c r="C79" s="12"/>
    </row>
    <row r="80" spans="1:3" ht="31.5" x14ac:dyDescent="0.25">
      <c r="A80" s="35" t="s">
        <v>129</v>
      </c>
      <c r="B80" s="9" t="s">
        <v>128</v>
      </c>
      <c r="C80" s="12"/>
    </row>
    <row r="81" spans="1:3" ht="47.25" x14ac:dyDescent="0.25">
      <c r="A81" s="35" t="s">
        <v>131</v>
      </c>
      <c r="B81" s="9" t="s">
        <v>130</v>
      </c>
      <c r="C81" s="12"/>
    </row>
    <row r="82" spans="1:3" ht="63" x14ac:dyDescent="0.25">
      <c r="A82" s="35" t="s">
        <v>132</v>
      </c>
      <c r="B82" s="9" t="s">
        <v>282</v>
      </c>
      <c r="C82" s="12"/>
    </row>
    <row r="83" spans="1:3" ht="47.25" x14ac:dyDescent="0.25">
      <c r="A83" s="35" t="s">
        <v>134</v>
      </c>
      <c r="B83" s="9" t="s">
        <v>133</v>
      </c>
      <c r="C83" s="12"/>
    </row>
    <row r="84" spans="1:3" ht="31.5" x14ac:dyDescent="0.25">
      <c r="A84" s="35" t="s">
        <v>136</v>
      </c>
      <c r="B84" s="9" t="s">
        <v>135</v>
      </c>
      <c r="C84" s="12"/>
    </row>
    <row r="85" spans="1:3" ht="47.25" x14ac:dyDescent="0.25">
      <c r="A85" s="35" t="s">
        <v>137</v>
      </c>
      <c r="B85" s="9" t="s">
        <v>298</v>
      </c>
      <c r="C85" s="12"/>
    </row>
    <row r="86" spans="1:3" ht="47.25" x14ac:dyDescent="0.25">
      <c r="A86" s="35" t="s">
        <v>138</v>
      </c>
      <c r="B86" s="9" t="s">
        <v>297</v>
      </c>
      <c r="C86" s="12"/>
    </row>
    <row r="87" spans="1:3" ht="47.25" x14ac:dyDescent="0.25">
      <c r="A87" s="35" t="s">
        <v>139</v>
      </c>
      <c r="B87" s="9" t="s">
        <v>299</v>
      </c>
      <c r="C87" s="12"/>
    </row>
    <row r="88" spans="1:3" ht="47.25" x14ac:dyDescent="0.25">
      <c r="A88" s="33" t="s">
        <v>140</v>
      </c>
      <c r="B88" s="10" t="s">
        <v>187</v>
      </c>
      <c r="C88" s="11"/>
    </row>
    <row r="89" spans="1:3" ht="47.25" x14ac:dyDescent="0.25">
      <c r="A89" s="33" t="s">
        <v>184</v>
      </c>
      <c r="B89" s="10" t="s">
        <v>305</v>
      </c>
      <c r="C89" s="11"/>
    </row>
    <row r="90" spans="1:3" ht="47.25" x14ac:dyDescent="0.25">
      <c r="A90" s="33" t="s">
        <v>141</v>
      </c>
      <c r="B90" s="10" t="s">
        <v>285</v>
      </c>
      <c r="C90" s="11"/>
    </row>
    <row r="91" spans="1:3" ht="47.25" x14ac:dyDescent="0.25">
      <c r="A91" s="33" t="s">
        <v>185</v>
      </c>
      <c r="B91" s="10" t="s">
        <v>286</v>
      </c>
      <c r="C91" s="11"/>
    </row>
    <row r="92" spans="1:3" ht="47.25" x14ac:dyDescent="0.25">
      <c r="A92" s="33" t="s">
        <v>142</v>
      </c>
      <c r="B92" s="10" t="s">
        <v>287</v>
      </c>
      <c r="C92" s="11"/>
    </row>
    <row r="93" spans="1:3" ht="47.25" x14ac:dyDescent="0.25">
      <c r="A93" s="33" t="s">
        <v>186</v>
      </c>
      <c r="B93" s="10" t="s">
        <v>288</v>
      </c>
      <c r="C93" s="11"/>
    </row>
    <row r="94" spans="1:3" ht="47.25" x14ac:dyDescent="0.25">
      <c r="A94" s="35" t="s">
        <v>143</v>
      </c>
      <c r="B94" s="9" t="s">
        <v>306</v>
      </c>
      <c r="C94" s="12"/>
    </row>
    <row r="95" spans="1:3" x14ac:dyDescent="0.25">
      <c r="A95" s="34"/>
      <c r="B95" s="8" t="s">
        <v>172</v>
      </c>
      <c r="C95" s="3"/>
    </row>
    <row r="96" spans="1:3" ht="47.25" x14ac:dyDescent="0.25">
      <c r="A96" s="35" t="s">
        <v>144</v>
      </c>
      <c r="B96" s="9" t="s">
        <v>188</v>
      </c>
      <c r="C96" s="12"/>
    </row>
    <row r="97" spans="1:3" ht="47.25" x14ac:dyDescent="0.25">
      <c r="A97" s="35" t="s">
        <v>145</v>
      </c>
      <c r="B97" s="9" t="s">
        <v>189</v>
      </c>
      <c r="C97" s="12"/>
    </row>
    <row r="98" spans="1:3" ht="47.25" x14ac:dyDescent="0.25">
      <c r="A98" s="35" t="s">
        <v>147</v>
      </c>
      <c r="B98" s="9" t="s">
        <v>146</v>
      </c>
      <c r="C98" s="12"/>
    </row>
    <row r="99" spans="1:3" ht="31.5" x14ac:dyDescent="0.25">
      <c r="A99" s="35" t="s">
        <v>148</v>
      </c>
      <c r="B99" s="7" t="s">
        <v>173</v>
      </c>
      <c r="C99" s="12"/>
    </row>
    <row r="100" spans="1:3" ht="78.75" x14ac:dyDescent="0.25">
      <c r="A100" s="33" t="s">
        <v>149</v>
      </c>
      <c r="B100" s="7" t="s">
        <v>190</v>
      </c>
      <c r="C100" s="12"/>
    </row>
    <row r="101" spans="1:3" x14ac:dyDescent="0.25">
      <c r="A101" s="34"/>
      <c r="B101" s="8" t="s">
        <v>174</v>
      </c>
      <c r="C101" s="3"/>
    </row>
    <row r="102" spans="1:3" ht="47.25" x14ac:dyDescent="0.25">
      <c r="A102" s="35" t="s">
        <v>151</v>
      </c>
      <c r="B102" s="9" t="s">
        <v>150</v>
      </c>
      <c r="C102" s="12"/>
    </row>
    <row r="103" spans="1:3" ht="47.25" x14ac:dyDescent="0.25">
      <c r="A103" s="35" t="s">
        <v>153</v>
      </c>
      <c r="B103" s="9" t="s">
        <v>152</v>
      </c>
      <c r="C103" s="12"/>
    </row>
    <row r="104" spans="1:3" ht="47.25" x14ac:dyDescent="0.25">
      <c r="A104" s="35" t="s">
        <v>155</v>
      </c>
      <c r="B104" s="9" t="s">
        <v>154</v>
      </c>
      <c r="C104" s="12"/>
    </row>
    <row r="105" spans="1:3" ht="47.25" x14ac:dyDescent="0.25">
      <c r="A105" s="35" t="s">
        <v>157</v>
      </c>
      <c r="B105" s="9" t="s">
        <v>156</v>
      </c>
      <c r="C105" s="12"/>
    </row>
    <row r="106" spans="1:3" ht="47.25" x14ac:dyDescent="0.25">
      <c r="A106" s="35" t="s">
        <v>159</v>
      </c>
      <c r="B106" s="9" t="s">
        <v>158</v>
      </c>
      <c r="C106" s="12"/>
    </row>
    <row r="107" spans="1:3" ht="47.25" x14ac:dyDescent="0.25">
      <c r="A107" s="35" t="s">
        <v>161</v>
      </c>
      <c r="B107" s="9" t="s">
        <v>160</v>
      </c>
      <c r="C107" s="12"/>
    </row>
    <row r="108" spans="1:3" x14ac:dyDescent="0.25">
      <c r="A108" s="36" t="s">
        <v>175</v>
      </c>
      <c r="B108" s="10" t="s">
        <v>191</v>
      </c>
      <c r="C108" s="13"/>
    </row>
  </sheetData>
  <sheetProtection algorithmName="SHA-512" hashValue="jv2j/DgfmPkvivNkY9WXqD1KNjK2mse5jTDtr9grOxTYsRoAu/rgKrupbIYF0p397UU4s8vgU3crwoLp3mWQiA==" saltValue="/Uy321nea1f1HciY4rAPFQ==" spinCount="100000" sheet="1" objects="1" scenarios="1" autoFilter="0"/>
  <dataValidations count="1">
    <dataValidation type="whole" allowBlank="1" showInputMessage="1" showErrorMessage="1" errorTitle="Помилка вводу" error="Значення має бути 0 або 1" sqref="C25:C35 C9:C22" xr:uid="{BB9CCC8B-B6D9-4008-AA37-8B3CA158E597}">
      <formula1>0</formula1>
      <formula2>1</formula2>
    </dataValidation>
  </dataValidations>
  <pageMargins left="0.23622047244094491" right="0.23622047244094491" top="0.74803149606299213" bottom="0.74803149606299213" header="0.31496062992125984" footer="0.31496062992125984"/>
  <pageSetup paperSize="9" orientation="portrait" verticalDpi="0" r:id="rId1"/>
  <headerFooter>
    <oddFooter>&amp;R&amp;P /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6B754-692D-40E1-B526-4835B340F0AF}">
  <sheetPr>
    <outlinePr summaryBelow="0"/>
  </sheetPr>
  <dimension ref="A1:F95"/>
  <sheetViews>
    <sheetView workbookViewId="0">
      <pane ySplit="6" topLeftCell="A7" activePane="bottomLeft" state="frozen"/>
      <selection pane="bottomLeft" activeCell="A7" sqref="A7"/>
    </sheetView>
  </sheetViews>
  <sheetFormatPr defaultRowHeight="15.75" outlineLevelRow="1" x14ac:dyDescent="0.25"/>
  <cols>
    <col min="1" max="1" width="12.85546875" style="2" customWidth="1"/>
    <col min="2" max="2" width="76.7109375" style="2" customWidth="1"/>
    <col min="3" max="3" width="13.28515625" style="2" customWidth="1"/>
    <col min="4" max="4" width="12.5703125" style="2" customWidth="1"/>
    <col min="5" max="5" width="9.140625" style="2" customWidth="1"/>
    <col min="6" max="6" width="11.140625" style="2" customWidth="1"/>
    <col min="7" max="16384" width="9.140625" style="2"/>
  </cols>
  <sheetData>
    <row r="1" spans="1:6" x14ac:dyDescent="0.25">
      <c r="A1" s="1" t="s">
        <v>162</v>
      </c>
      <c r="B1" s="19">
        <f>План!B1</f>
        <v>0</v>
      </c>
      <c r="C1" s="5"/>
    </row>
    <row r="2" spans="1:6" x14ac:dyDescent="0.25">
      <c r="A2" s="1" t="s">
        <v>163</v>
      </c>
      <c r="B2" s="19">
        <f>План!B2</f>
        <v>0</v>
      </c>
      <c r="C2" s="5"/>
    </row>
    <row r="3" spans="1:6" ht="64.5" customHeight="1" x14ac:dyDescent="0.25">
      <c r="A3" s="4" t="s">
        <v>164</v>
      </c>
      <c r="B3" s="19">
        <f>План!B3</f>
        <v>0</v>
      </c>
      <c r="C3" s="5"/>
    </row>
    <row r="5" spans="1:6" ht="76.5" customHeight="1" x14ac:dyDescent="0.25">
      <c r="A5" s="39" t="s">
        <v>1</v>
      </c>
      <c r="B5" s="37" t="s">
        <v>193</v>
      </c>
      <c r="C5" s="37" t="s">
        <v>194</v>
      </c>
      <c r="D5" s="37" t="s">
        <v>195</v>
      </c>
      <c r="E5" s="37" t="s">
        <v>196</v>
      </c>
      <c r="F5" s="40" t="s">
        <v>197</v>
      </c>
    </row>
    <row r="6" spans="1:6" x14ac:dyDescent="0.25">
      <c r="A6" s="41" t="s">
        <v>199</v>
      </c>
      <c r="B6" s="42" t="s">
        <v>198</v>
      </c>
      <c r="C6" s="43"/>
      <c r="D6" s="44"/>
      <c r="E6" s="44"/>
      <c r="F6" s="45">
        <f>((F15+(F35+F53+F88)/C14)*100/29)+F94</f>
        <v>13.793103448275861</v>
      </c>
    </row>
    <row r="7" spans="1:6" x14ac:dyDescent="0.25">
      <c r="A7" s="28" t="s">
        <v>270</v>
      </c>
      <c r="B7" s="17" t="s">
        <v>165</v>
      </c>
      <c r="C7" s="29"/>
      <c r="D7" s="30"/>
      <c r="E7" s="30"/>
      <c r="F7" s="31">
        <f>F15</f>
        <v>0</v>
      </c>
    </row>
    <row r="8" spans="1:6" x14ac:dyDescent="0.25">
      <c r="A8" s="28" t="s">
        <v>271</v>
      </c>
      <c r="B8" s="17" t="s">
        <v>170</v>
      </c>
      <c r="C8" s="29"/>
      <c r="D8" s="30"/>
      <c r="E8" s="30"/>
      <c r="F8" s="31">
        <f>F35</f>
        <v>4</v>
      </c>
    </row>
    <row r="9" spans="1:6" x14ac:dyDescent="0.25">
      <c r="A9" s="28" t="s">
        <v>272</v>
      </c>
      <c r="B9" s="17" t="s">
        <v>171</v>
      </c>
      <c r="C9" s="25"/>
      <c r="D9" s="22"/>
      <c r="E9" s="22"/>
      <c r="F9" s="31">
        <f>F53</f>
        <v>0</v>
      </c>
    </row>
    <row r="10" spans="1:6" x14ac:dyDescent="0.25">
      <c r="A10" s="28" t="s">
        <v>273</v>
      </c>
      <c r="B10" s="17" t="s">
        <v>172</v>
      </c>
      <c r="C10" s="25"/>
      <c r="D10" s="22"/>
      <c r="E10" s="22"/>
      <c r="F10" s="31">
        <f>F88</f>
        <v>0</v>
      </c>
    </row>
    <row r="11" spans="1:6" x14ac:dyDescent="0.25">
      <c r="A11" s="28" t="s">
        <v>274</v>
      </c>
      <c r="B11" s="17" t="s">
        <v>174</v>
      </c>
      <c r="C11" s="25"/>
      <c r="D11" s="22"/>
      <c r="E11" s="22"/>
      <c r="F11" s="31">
        <f>F94</f>
        <v>0</v>
      </c>
    </row>
    <row r="12" spans="1:6" s="6" customFormat="1" ht="31.5" outlineLevel="1" x14ac:dyDescent="0.25">
      <c r="A12" s="15" t="s">
        <v>182</v>
      </c>
      <c r="B12" s="16" t="s">
        <v>181</v>
      </c>
      <c r="C12" s="24">
        <f>VLOOKUP("PR.I.0.01.1",PR_Plan[],3,FALSE)</f>
        <v>1</v>
      </c>
      <c r="D12" s="20"/>
      <c r="E12" s="20"/>
      <c r="F12" s="21"/>
    </row>
    <row r="13" spans="1:6" s="6" customFormat="1" ht="31.5" outlineLevel="1" x14ac:dyDescent="0.25">
      <c r="A13" s="15" t="s">
        <v>2</v>
      </c>
      <c r="B13" s="16" t="s">
        <v>180</v>
      </c>
      <c r="C13" s="24">
        <f>VLOOKUP("PR.I.0.01",PR_Plan[],3,FALSE)</f>
        <v>1</v>
      </c>
      <c r="D13" s="20"/>
      <c r="E13" s="20"/>
      <c r="F13" s="26"/>
    </row>
    <row r="14" spans="1:6" s="6" customFormat="1" ht="31.5" outlineLevel="1" x14ac:dyDescent="0.25">
      <c r="A14" s="15" t="s">
        <v>3</v>
      </c>
      <c r="B14" s="16" t="s">
        <v>179</v>
      </c>
      <c r="C14" s="24">
        <f>IF((C12+C13)/(IF(C12&gt;0,1,0)+IF(C13&gt;0,1,0))&gt;1,1,(C12+C13)/(IF(C12&gt;0,1,0)+IF(C13&gt;0,1,0)))</f>
        <v>1</v>
      </c>
      <c r="D14" s="20"/>
      <c r="E14" s="20"/>
      <c r="F14" s="26"/>
    </row>
    <row r="15" spans="1:6" s="6" customFormat="1" x14ac:dyDescent="0.25">
      <c r="A15" s="28" t="s">
        <v>270</v>
      </c>
      <c r="B15" s="17" t="s">
        <v>165</v>
      </c>
      <c r="C15" s="29"/>
      <c r="D15" s="30"/>
      <c r="E15" s="30"/>
      <c r="F15" s="31">
        <f>SUM(F16:F34)</f>
        <v>0</v>
      </c>
    </row>
    <row r="16" spans="1:6" s="6" customFormat="1" ht="23.25" customHeight="1" outlineLevel="1" x14ac:dyDescent="0.25">
      <c r="A16" s="15" t="s">
        <v>200</v>
      </c>
      <c r="B16" s="16" t="s">
        <v>4</v>
      </c>
      <c r="C16" s="24">
        <f>VLOOKUP("PR.I.1.01",PR_Plan[],3,FALSE)</f>
        <v>0</v>
      </c>
      <c r="D16" s="20">
        <v>0.23</v>
      </c>
      <c r="E16" s="20">
        <v>1</v>
      </c>
      <c r="F16" s="26">
        <f>Розрахунок!$C16*Розрахунок!$E16/Розрахунок!$D16</f>
        <v>0</v>
      </c>
    </row>
    <row r="17" spans="1:6" s="6" customFormat="1" ht="31.5" outlineLevel="1" x14ac:dyDescent="0.25">
      <c r="A17" s="15" t="s">
        <v>201</v>
      </c>
      <c r="B17" s="16" t="s">
        <v>6</v>
      </c>
      <c r="C17" s="24">
        <f>VLOOKUP("PR.I.1.02",PR_Plan[],3,FALSE)</f>
        <v>0</v>
      </c>
      <c r="D17" s="20">
        <v>0.65</v>
      </c>
      <c r="E17" s="20">
        <v>1</v>
      </c>
      <c r="F17" s="26">
        <f>Розрахунок!$C17*Розрахунок!$E17/Розрахунок!$D17</f>
        <v>0</v>
      </c>
    </row>
    <row r="18" spans="1:6" s="6" customFormat="1" ht="30" outlineLevel="1" x14ac:dyDescent="0.25">
      <c r="A18" s="15" t="s">
        <v>275</v>
      </c>
      <c r="B18" s="23" t="s">
        <v>202</v>
      </c>
      <c r="C18" s="24">
        <f>IF((VLOOKUP("PR.I.1.04.1",PR_Plan[],3,FALSE)+VLOOKUP("PR.I.1.04.2",PR_Plan[],3,FALSE)+VLOOKUP("PR.I.1.04.3",PR_Plan[],3,FALSE)+VLOOKUP("PR.I.1.04.4",PR_Plan[],3,FALSE)+VLOOKUP("PR.I.1.04.5",PR_Plan[],3,FALSE)+VLOOKUP("PR.I.1.04.6",PR_Plan[],3,FALSE)+VLOOKUP("PR.I.1.04.7",PR_Plan[],3,FALSE)+VLOOKUP("PR.I.1.04.8",PR_Plan[],3,FALSE))&gt;0,1,0)</f>
        <v>0</v>
      </c>
      <c r="D18" s="20">
        <v>0.15</v>
      </c>
      <c r="E18" s="20">
        <v>1</v>
      </c>
      <c r="F18" s="26">
        <f>Розрахунок!$C18*Розрахунок!$E18/Розрахунок!$D18</f>
        <v>0</v>
      </c>
    </row>
    <row r="19" spans="1:6" ht="33.75" customHeight="1" outlineLevel="1" x14ac:dyDescent="0.25">
      <c r="A19" s="15" t="s">
        <v>276</v>
      </c>
      <c r="B19" s="16" t="s">
        <v>18</v>
      </c>
      <c r="C19" s="24">
        <f>VLOOKUP("PR.I.1.05",PR_Plan[],3,FALSE)</f>
        <v>0</v>
      </c>
      <c r="D19" s="20">
        <v>0.16</v>
      </c>
      <c r="E19" s="20">
        <v>1</v>
      </c>
      <c r="F19" s="26">
        <f>Розрахунок!$C19*Розрахунок!$E19/Розрахунок!$D19</f>
        <v>0</v>
      </c>
    </row>
    <row r="20" spans="1:6" ht="47.25" outlineLevel="1" x14ac:dyDescent="0.25">
      <c r="A20" s="15" t="s">
        <v>277</v>
      </c>
      <c r="B20" s="16" t="s">
        <v>169</v>
      </c>
      <c r="C20" s="24">
        <f>VLOOKUP("PR.I.1.06",PR_Plan[],3,FALSE)</f>
        <v>0</v>
      </c>
      <c r="D20" s="20">
        <v>4.5999999999999999E-2</v>
      </c>
      <c r="E20" s="20">
        <v>0.3</v>
      </c>
      <c r="F20" s="26">
        <f>Розрахунок!$C20*Розрахунок!$E20/Розрахунок!$D20</f>
        <v>0</v>
      </c>
    </row>
    <row r="21" spans="1:6" ht="31.5" outlineLevel="1" x14ac:dyDescent="0.25">
      <c r="A21" s="15" t="s">
        <v>279</v>
      </c>
      <c r="B21" s="16" t="s">
        <v>278</v>
      </c>
      <c r="C21" s="24">
        <f>IF((VLOOKUP("PR.I.1.07.1",PR_Plan[],3,FALSE)+VLOOKUP("PR.I.1.07.2",PR_Plan[],3,FALSE))&gt;0,1,0)</f>
        <v>0</v>
      </c>
      <c r="D21" s="20">
        <v>0.13</v>
      </c>
      <c r="E21" s="20">
        <v>1</v>
      </c>
      <c r="F21" s="26">
        <f>Розрахунок!$C21*Розрахунок!$E21/Розрахунок!$D21</f>
        <v>0</v>
      </c>
    </row>
    <row r="22" spans="1:6" ht="31.5" outlineLevel="1" x14ac:dyDescent="0.25">
      <c r="A22" s="15" t="s">
        <v>203</v>
      </c>
      <c r="B22" s="16" t="s">
        <v>25</v>
      </c>
      <c r="C22" s="24">
        <f>VLOOKUP("PR.I.1.08.1",PR_Plan[],3,FALSE)</f>
        <v>0</v>
      </c>
      <c r="D22" s="20">
        <v>0.05</v>
      </c>
      <c r="E22" s="20">
        <v>1</v>
      </c>
      <c r="F22" s="26">
        <f>Розрахунок!$C22*Розрахунок!$E22/Розрахунок!$D22</f>
        <v>0</v>
      </c>
    </row>
    <row r="23" spans="1:6" ht="31.5" outlineLevel="1" x14ac:dyDescent="0.25">
      <c r="A23" s="15" t="s">
        <v>204</v>
      </c>
      <c r="B23" s="16" t="s">
        <v>27</v>
      </c>
      <c r="C23" s="24">
        <f>VLOOKUP("PR.I.1.08.2",PR_Plan[],3,FALSE)</f>
        <v>0</v>
      </c>
      <c r="D23" s="20">
        <v>0.05</v>
      </c>
      <c r="E23" s="20">
        <v>0.5</v>
      </c>
      <c r="F23" s="26">
        <f>Розрахунок!$C23*Розрахунок!$E23/Розрахунок!$D23</f>
        <v>0</v>
      </c>
    </row>
    <row r="24" spans="1:6" outlineLevel="1" x14ac:dyDescent="0.25">
      <c r="A24" s="15" t="s">
        <v>205</v>
      </c>
      <c r="B24" s="16" t="s">
        <v>29</v>
      </c>
      <c r="C24" s="24">
        <f>VLOOKUP("PR.I.1.10",PR_Plan[],3,FALSE)</f>
        <v>0</v>
      </c>
      <c r="D24" s="20">
        <v>1.6E-2</v>
      </c>
      <c r="E24" s="20">
        <v>1</v>
      </c>
      <c r="F24" s="26">
        <f>Розрахунок!$C24*Розрахунок!$E24/Розрахунок!$D24</f>
        <v>0</v>
      </c>
    </row>
    <row r="25" spans="1:6" ht="31.5" outlineLevel="1" x14ac:dyDescent="0.25">
      <c r="A25" s="15" t="s">
        <v>206</v>
      </c>
      <c r="B25" s="16" t="s">
        <v>31</v>
      </c>
      <c r="C25" s="24">
        <f>VLOOKUP("PR.I.1.11.1",PR_Plan[],3,FALSE)</f>
        <v>0</v>
      </c>
      <c r="D25" s="27">
        <v>1.2E-2</v>
      </c>
      <c r="E25" s="20">
        <v>1</v>
      </c>
      <c r="F25" s="26">
        <f>Розрахунок!$C25*Розрахунок!$E25/Розрахунок!$D25</f>
        <v>0</v>
      </c>
    </row>
    <row r="26" spans="1:6" outlineLevel="1" x14ac:dyDescent="0.25">
      <c r="A26" s="15" t="s">
        <v>208</v>
      </c>
      <c r="B26" s="16" t="s">
        <v>35</v>
      </c>
      <c r="C26" s="24">
        <f>VLOOKUP("PR.I.1.11.2",PR_Plan[],3,FALSE)</f>
        <v>0</v>
      </c>
      <c r="D26" s="27">
        <v>1.2E-2</v>
      </c>
      <c r="E26" s="20">
        <v>0.7</v>
      </c>
      <c r="F26" s="26">
        <f>Розрахунок!$C26*Розрахунок!$E26/Розрахунок!$D26</f>
        <v>0</v>
      </c>
    </row>
    <row r="27" spans="1:6" outlineLevel="1" x14ac:dyDescent="0.25">
      <c r="A27" s="15" t="s">
        <v>209</v>
      </c>
      <c r="B27" s="16" t="s">
        <v>37</v>
      </c>
      <c r="C27" s="24">
        <f>VLOOKUP("PR.I.1.11.3",PR_Plan[],3,FALSE)</f>
        <v>0</v>
      </c>
      <c r="D27" s="27">
        <v>1.2E-2</v>
      </c>
      <c r="E27" s="20">
        <v>0.2</v>
      </c>
      <c r="F27" s="26">
        <f>Розрахунок!$C27*Розрахунок!$E27/Розрахунок!$D27</f>
        <v>0</v>
      </c>
    </row>
    <row r="28" spans="1:6" outlineLevel="1" x14ac:dyDescent="0.25">
      <c r="A28" s="15" t="s">
        <v>210</v>
      </c>
      <c r="B28" s="16" t="s">
        <v>39</v>
      </c>
      <c r="C28" s="24">
        <f>VLOOKUP("PR.I.1.11.4",PR_Plan[],3,FALSE)</f>
        <v>0</v>
      </c>
      <c r="D28" s="27">
        <v>1.2E-2</v>
      </c>
      <c r="E28" s="20">
        <v>1</v>
      </c>
      <c r="F28" s="26">
        <f>Розрахунок!$C28*Розрахунок!$E28/Розрахунок!$D28</f>
        <v>0</v>
      </c>
    </row>
    <row r="29" spans="1:6" outlineLevel="1" x14ac:dyDescent="0.25">
      <c r="A29" s="15" t="s">
        <v>211</v>
      </c>
      <c r="B29" s="16" t="s">
        <v>41</v>
      </c>
      <c r="C29" s="24">
        <f>VLOOKUP("PR.I.1.11.5",PR_Plan[],3,FALSE)</f>
        <v>0</v>
      </c>
      <c r="D29" s="27">
        <v>1.2E-2</v>
      </c>
      <c r="E29" s="20">
        <v>0.7</v>
      </c>
      <c r="F29" s="26">
        <f>Розрахунок!$C29*Розрахунок!$E29/Розрахунок!$D29</f>
        <v>0</v>
      </c>
    </row>
    <row r="30" spans="1:6" outlineLevel="1" x14ac:dyDescent="0.25">
      <c r="A30" s="15" t="s">
        <v>212</v>
      </c>
      <c r="B30" s="16" t="s">
        <v>43</v>
      </c>
      <c r="C30" s="24">
        <f>VLOOKUP("PR.I.1.11.6",PR_Plan[],3,FALSE)</f>
        <v>0</v>
      </c>
      <c r="D30" s="27">
        <v>1.2E-2</v>
      </c>
      <c r="E30" s="32">
        <v>0.2</v>
      </c>
      <c r="F30" s="26">
        <f>Розрахунок!$C30*Розрахунок!$E30/Розрахунок!$D30</f>
        <v>0</v>
      </c>
    </row>
    <row r="31" spans="1:6" outlineLevel="1" x14ac:dyDescent="0.25">
      <c r="A31" s="15" t="s">
        <v>213</v>
      </c>
      <c r="B31" s="16" t="s">
        <v>45</v>
      </c>
      <c r="C31" s="24">
        <f>VLOOKUP("PR.I.1.11.7",PR_Plan[],3,FALSE)</f>
        <v>0</v>
      </c>
      <c r="D31" s="27">
        <v>1.2E-2</v>
      </c>
      <c r="E31" s="32">
        <v>0.2</v>
      </c>
      <c r="F31" s="26">
        <f>Розрахунок!$C31*Розрахунок!$E31/Розрахунок!$D31</f>
        <v>0</v>
      </c>
    </row>
    <row r="32" spans="1:6" outlineLevel="1" x14ac:dyDescent="0.25">
      <c r="A32" s="15" t="s">
        <v>214</v>
      </c>
      <c r="B32" s="16" t="s">
        <v>47</v>
      </c>
      <c r="C32" s="24">
        <f>VLOOKUP("PR.I.1.11.8",PR_Plan[],3,FALSE)</f>
        <v>0</v>
      </c>
      <c r="D32" s="27">
        <v>1.2E-2</v>
      </c>
      <c r="E32" s="32">
        <v>0.7</v>
      </c>
      <c r="F32" s="26">
        <f>Розрахунок!$C32*Розрахунок!$E32/Розрахунок!$D32</f>
        <v>0</v>
      </c>
    </row>
    <row r="33" spans="1:6" outlineLevel="1" x14ac:dyDescent="0.25">
      <c r="A33" s="15" t="s">
        <v>215</v>
      </c>
      <c r="B33" s="16" t="s">
        <v>49</v>
      </c>
      <c r="C33" s="24">
        <f>VLOOKUP("PR.I.1.11.9",PR_Plan[],3,FALSE)</f>
        <v>0</v>
      </c>
      <c r="D33" s="27">
        <v>1.2E-2</v>
      </c>
      <c r="E33" s="20">
        <v>0.7</v>
      </c>
      <c r="F33" s="26">
        <f>Розрахунок!$C33*Розрахунок!$E33/Розрахунок!$D33</f>
        <v>0</v>
      </c>
    </row>
    <row r="34" spans="1:6" outlineLevel="1" x14ac:dyDescent="0.25">
      <c r="A34" s="15" t="s">
        <v>207</v>
      </c>
      <c r="B34" s="16" t="s">
        <v>33</v>
      </c>
      <c r="C34" s="24">
        <f>VLOOKUP("PR.I.1.11.10",PR_Plan[],3,FALSE)</f>
        <v>0</v>
      </c>
      <c r="D34" s="27">
        <v>1.2E-2</v>
      </c>
      <c r="E34" s="20">
        <v>0.7</v>
      </c>
      <c r="F34" s="26">
        <f>Розрахунок!$C34*Розрахунок!$E34/Розрахунок!$D34</f>
        <v>0</v>
      </c>
    </row>
    <row r="35" spans="1:6" x14ac:dyDescent="0.25">
      <c r="A35" s="28" t="s">
        <v>271</v>
      </c>
      <c r="B35" s="17" t="s">
        <v>170</v>
      </c>
      <c r="C35" s="29"/>
      <c r="D35" s="30"/>
      <c r="E35" s="30"/>
      <c r="F35" s="31">
        <f>SUM(F36:F52)</f>
        <v>4</v>
      </c>
    </row>
    <row r="36" spans="1:6" ht="48" customHeight="1" outlineLevel="1" x14ac:dyDescent="0.25">
      <c r="A36" s="15" t="s">
        <v>216</v>
      </c>
      <c r="B36" s="16" t="s">
        <v>280</v>
      </c>
      <c r="C36" s="24">
        <v>1</v>
      </c>
      <c r="D36" s="20">
        <v>1</v>
      </c>
      <c r="E36" s="20">
        <v>1</v>
      </c>
      <c r="F36" s="26">
        <f>Розрахунок!$C36*Розрахунок!$E36/Розрахунок!$D36</f>
        <v>1</v>
      </c>
    </row>
    <row r="37" spans="1:6" ht="31.5" outlineLevel="1" x14ac:dyDescent="0.25">
      <c r="A37" s="15" t="s">
        <v>217</v>
      </c>
      <c r="B37" s="16" t="s">
        <v>52</v>
      </c>
      <c r="C37" s="24">
        <f>VLOOKUP("PR.I.2.02.1",PR_Plan[],3,FALSE)</f>
        <v>0</v>
      </c>
      <c r="D37" s="20">
        <v>0.11</v>
      </c>
      <c r="E37" s="20">
        <v>1</v>
      </c>
      <c r="F37" s="26">
        <f>Розрахунок!$C37*Розрахунок!$E37/Розрахунок!$D37</f>
        <v>0</v>
      </c>
    </row>
    <row r="38" spans="1:6" ht="31.5" outlineLevel="1" x14ac:dyDescent="0.25">
      <c r="A38" s="15" t="s">
        <v>218</v>
      </c>
      <c r="B38" s="16" t="s">
        <v>54</v>
      </c>
      <c r="C38" s="24">
        <f>VLOOKUP("PR.I.2.02.2",PR_Plan[],3,FALSE)</f>
        <v>0</v>
      </c>
      <c r="D38" s="20">
        <v>0.11</v>
      </c>
      <c r="E38" s="20">
        <v>1</v>
      </c>
      <c r="F38" s="26">
        <f>Розрахунок!$C38*Розрахунок!$E38/Розрахунок!$D38</f>
        <v>0</v>
      </c>
    </row>
    <row r="39" spans="1:6" ht="47.25" outlineLevel="1" x14ac:dyDescent="0.25">
      <c r="A39" s="15" t="s">
        <v>219</v>
      </c>
      <c r="B39" s="16" t="s">
        <v>56</v>
      </c>
      <c r="C39" s="24">
        <f>VLOOKUP("PR.I.2.02.3",PR_Plan[],3,FALSE)</f>
        <v>0</v>
      </c>
      <c r="D39" s="20">
        <v>0.11</v>
      </c>
      <c r="E39" s="20">
        <v>1</v>
      </c>
      <c r="F39" s="26">
        <f>Розрахунок!$C39*Розрахунок!$E39/Розрахунок!$D39</f>
        <v>0</v>
      </c>
    </row>
    <row r="40" spans="1:6" ht="31.5" outlineLevel="1" x14ac:dyDescent="0.25">
      <c r="A40" s="15" t="s">
        <v>220</v>
      </c>
      <c r="B40" s="16" t="s">
        <v>58</v>
      </c>
      <c r="C40" s="24">
        <f>VLOOKUP("PR.I.2.02.4",PR_Plan[],3,FALSE)</f>
        <v>0</v>
      </c>
      <c r="D40" s="20">
        <v>0.11</v>
      </c>
      <c r="E40" s="20">
        <v>1</v>
      </c>
      <c r="F40" s="26">
        <f>Розрахунок!$C40*Розрахунок!$E40/Розрахунок!$D40</f>
        <v>0</v>
      </c>
    </row>
    <row r="41" spans="1:6" ht="31.5" outlineLevel="1" x14ac:dyDescent="0.25">
      <c r="A41" s="15" t="s">
        <v>221</v>
      </c>
      <c r="B41" s="16" t="s">
        <v>60</v>
      </c>
      <c r="C41" s="24">
        <f>VLOOKUP("PR.I.2.02.5",PR_Plan[],3,FALSE)</f>
        <v>0</v>
      </c>
      <c r="D41" s="20">
        <v>0.11</v>
      </c>
      <c r="E41" s="20">
        <v>1</v>
      </c>
      <c r="F41" s="26">
        <f>Розрахунок!$C41*Розрахунок!$E41/Розрахунок!$D41</f>
        <v>0</v>
      </c>
    </row>
    <row r="42" spans="1:6" ht="31.5" outlineLevel="1" x14ac:dyDescent="0.25">
      <c r="A42" s="15" t="s">
        <v>222</v>
      </c>
      <c r="B42" s="16" t="s">
        <v>62</v>
      </c>
      <c r="C42" s="24">
        <f>VLOOKUP("PR.I.2.02.6",PR_Plan[],3,FALSE)</f>
        <v>0</v>
      </c>
      <c r="D42" s="20">
        <v>0.11</v>
      </c>
      <c r="E42" s="20">
        <v>1</v>
      </c>
      <c r="F42" s="26">
        <f>Розрахунок!$C42*Розрахунок!$E42/Розрахунок!$D42</f>
        <v>0</v>
      </c>
    </row>
    <row r="43" spans="1:6" ht="31.5" outlineLevel="1" x14ac:dyDescent="0.25">
      <c r="A43" s="15" t="s">
        <v>223</v>
      </c>
      <c r="B43" s="16" t="s">
        <v>64</v>
      </c>
      <c r="C43" s="24">
        <f>VLOOKUP("PR.I.2.02.7",PR_Plan[],3,FALSE)</f>
        <v>0</v>
      </c>
      <c r="D43" s="20">
        <v>0.11</v>
      </c>
      <c r="E43" s="20">
        <v>1</v>
      </c>
      <c r="F43" s="26">
        <f>Розрахунок!$C43*Розрахунок!$E43/Розрахунок!$D43</f>
        <v>0</v>
      </c>
    </row>
    <row r="44" spans="1:6" ht="31.5" outlineLevel="1" x14ac:dyDescent="0.25">
      <c r="A44" s="15" t="s">
        <v>224</v>
      </c>
      <c r="B44" s="16" t="s">
        <v>66</v>
      </c>
      <c r="C44" s="24">
        <f>VLOOKUP("PR.I.2.02.8",PR_Plan[],3,FALSE)</f>
        <v>0</v>
      </c>
      <c r="D44" s="20">
        <v>0.11</v>
      </c>
      <c r="E44" s="20">
        <v>1</v>
      </c>
      <c r="F44" s="26">
        <f>Розрахунок!$C44*Розрахунок!$E44/Розрахунок!$D44</f>
        <v>0</v>
      </c>
    </row>
    <row r="45" spans="1:6" ht="31.5" outlineLevel="1" x14ac:dyDescent="0.25">
      <c r="A45" s="15" t="s">
        <v>225</v>
      </c>
      <c r="B45" s="16" t="s">
        <v>68</v>
      </c>
      <c r="C45" s="24">
        <f>VLOOKUP("PR.I.2.02.9",PR_Plan[],3,FALSE)</f>
        <v>0</v>
      </c>
      <c r="D45" s="20">
        <v>0.11</v>
      </c>
      <c r="E45" s="20">
        <v>1</v>
      </c>
      <c r="F45" s="26">
        <f>Розрахунок!$C45*Розрахунок!$E45/Розрахунок!$D45</f>
        <v>0</v>
      </c>
    </row>
    <row r="46" spans="1:6" ht="47.25" outlineLevel="1" x14ac:dyDescent="0.25">
      <c r="A46" s="15" t="s">
        <v>226</v>
      </c>
      <c r="B46" s="16" t="s">
        <v>70</v>
      </c>
      <c r="C46" s="24">
        <f>VLOOKUP("PR.I.2.03.1",PR_Plan[],3,FALSE)</f>
        <v>0</v>
      </c>
      <c r="D46" s="20">
        <v>0.115</v>
      </c>
      <c r="E46" s="20">
        <v>1</v>
      </c>
      <c r="F46" s="26">
        <f>Розрахунок!$C46*Розрахунок!$E46/Розрахунок!$D46</f>
        <v>0</v>
      </c>
    </row>
    <row r="47" spans="1:6" ht="31.5" outlineLevel="1" x14ac:dyDescent="0.25">
      <c r="A47" s="15" t="s">
        <v>227</v>
      </c>
      <c r="B47" s="16" t="s">
        <v>72</v>
      </c>
      <c r="C47" s="24">
        <f>VLOOKUP("PR.I.2.03.2",PR_Plan[],3,FALSE)</f>
        <v>0</v>
      </c>
      <c r="D47" s="20">
        <v>0.115</v>
      </c>
      <c r="E47" s="20">
        <v>1</v>
      </c>
      <c r="F47" s="26">
        <f>Розрахунок!$C47*Розрахунок!$E47/Розрахунок!$D47</f>
        <v>0</v>
      </c>
    </row>
    <row r="48" spans="1:6" ht="31.5" outlineLevel="1" x14ac:dyDescent="0.25">
      <c r="A48" s="15" t="s">
        <v>228</v>
      </c>
      <c r="B48" s="16" t="s">
        <v>74</v>
      </c>
      <c r="C48" s="24">
        <f>VLOOKUP("PR.I.2.03.3",PR_Plan[],3,FALSE)</f>
        <v>0</v>
      </c>
      <c r="D48" s="20">
        <v>0.115</v>
      </c>
      <c r="E48" s="20">
        <v>1</v>
      </c>
      <c r="F48" s="26">
        <f>Розрахунок!$C48*Розрахунок!$E48/Розрахунок!$D48</f>
        <v>0</v>
      </c>
    </row>
    <row r="49" spans="1:6" ht="31.5" outlineLevel="1" x14ac:dyDescent="0.25">
      <c r="A49" s="15" t="s">
        <v>229</v>
      </c>
      <c r="B49" s="16" t="s">
        <v>76</v>
      </c>
      <c r="C49" s="24">
        <f>VLOOKUP("PR.I.2.03.4",PR_Plan[],3,FALSE)</f>
        <v>0</v>
      </c>
      <c r="D49" s="20">
        <v>0.115</v>
      </c>
      <c r="E49" s="20">
        <v>1</v>
      </c>
      <c r="F49" s="26">
        <f>Розрахунок!$C49*Розрахунок!$E49/Розрахунок!$D49</f>
        <v>0</v>
      </c>
    </row>
    <row r="50" spans="1:6" ht="47.25" outlineLevel="1" x14ac:dyDescent="0.25">
      <c r="A50" s="15" t="s">
        <v>230</v>
      </c>
      <c r="B50" s="16" t="s">
        <v>183</v>
      </c>
      <c r="C50" s="24">
        <f>VLOOKUP("PR.I.2.04",PR_Plan[],3,FALSE)</f>
        <v>0</v>
      </c>
      <c r="D50" s="20">
        <v>4.4999999999999998E-2</v>
      </c>
      <c r="E50" s="20">
        <v>0.5</v>
      </c>
      <c r="F50" s="26">
        <f>Розрахунок!$C50*Розрахунок!$E50/Розрахунок!$D50</f>
        <v>0</v>
      </c>
    </row>
    <row r="51" spans="1:6" ht="47.25" outlineLevel="1" x14ac:dyDescent="0.25">
      <c r="A51" s="15" t="s">
        <v>231</v>
      </c>
      <c r="B51" s="16" t="s">
        <v>79</v>
      </c>
      <c r="C51" s="24">
        <f>VLOOKUP("PR.I.2.05",PR_Plan[],3,FALSE)</f>
        <v>0</v>
      </c>
      <c r="D51" s="20">
        <v>5000</v>
      </c>
      <c r="E51" s="20">
        <v>1</v>
      </c>
      <c r="F51" s="26">
        <f>Розрахунок!$C51*Розрахунок!$E51/Розрахунок!$D51</f>
        <v>0</v>
      </c>
    </row>
    <row r="52" spans="1:6" ht="47.25" outlineLevel="1" x14ac:dyDescent="0.25">
      <c r="A52" s="15" t="s">
        <v>232</v>
      </c>
      <c r="B52" s="16" t="s">
        <v>281</v>
      </c>
      <c r="C52" s="24">
        <v>1</v>
      </c>
      <c r="D52" s="20">
        <v>1</v>
      </c>
      <c r="E52" s="20">
        <v>3</v>
      </c>
      <c r="F52" s="26">
        <f>Розрахунок!$C52*Розрахунок!$E52/Розрахунок!$D52</f>
        <v>3</v>
      </c>
    </row>
    <row r="53" spans="1:6" x14ac:dyDescent="0.25">
      <c r="A53" s="28" t="s">
        <v>272</v>
      </c>
      <c r="B53" s="17" t="s">
        <v>171</v>
      </c>
      <c r="C53" s="25"/>
      <c r="D53" s="22"/>
      <c r="E53" s="22"/>
      <c r="F53" s="31">
        <f>SUM(F54:F87)</f>
        <v>0</v>
      </c>
    </row>
    <row r="54" spans="1:6" ht="47.25" outlineLevel="1" x14ac:dyDescent="0.25">
      <c r="A54" s="15" t="s">
        <v>233</v>
      </c>
      <c r="B54" s="16" t="s">
        <v>83</v>
      </c>
      <c r="C54" s="24">
        <f>VLOOKUP("PR.I.3.01",PR_Plan[],3,FALSE)</f>
        <v>0</v>
      </c>
      <c r="D54" s="20">
        <v>19400</v>
      </c>
      <c r="E54" s="20">
        <v>1</v>
      </c>
      <c r="F54" s="26">
        <f>Розрахунок!$C54*Розрахунок!$E54/Розрахунок!$D54</f>
        <v>0</v>
      </c>
    </row>
    <row r="55" spans="1:6" ht="47.25" outlineLevel="1" x14ac:dyDescent="0.25">
      <c r="A55" s="15" t="s">
        <v>234</v>
      </c>
      <c r="B55" s="16" t="s">
        <v>85</v>
      </c>
      <c r="C55" s="24">
        <f>(VLOOKUP("PR.I.3.02.1",PR_Plan[],3,FALSE)+VLOOKUP("PR.I.3.02.2",PR_Plan[],3,FALSE)+VLOOKUP("PR.I.3.02.3",PR_Plan[],3,FALSE)+VLOOKUP("PR.I.3.02.4",PR_Plan[],3,FALSE)+VLOOKUP("PR.I.3.02.5",PR_Plan[],3,FALSE)+VLOOKUP("PR.I.3.02.6",PR_Plan[],3,FALSE)+VLOOKUP("PR.I.3.02.7",PR_Plan[],3,FALSE))</f>
        <v>0</v>
      </c>
      <c r="D55" s="20">
        <v>24000</v>
      </c>
      <c r="E55" s="20">
        <v>1</v>
      </c>
      <c r="F55" s="26">
        <f>Розрахунок!$C55*Розрахунок!$E55/Розрахунок!$D55</f>
        <v>0</v>
      </c>
    </row>
    <row r="56" spans="1:6" ht="31.5" outlineLevel="1" x14ac:dyDescent="0.25">
      <c r="A56" s="15" t="s">
        <v>235</v>
      </c>
      <c r="B56" s="16" t="s">
        <v>291</v>
      </c>
      <c r="C56" s="24">
        <f>VLOOKUP("PR.I.3.03",PR_Plan[],3,FALSE)</f>
        <v>0</v>
      </c>
      <c r="D56" s="20">
        <v>2.2000000000000002</v>
      </c>
      <c r="E56" s="20">
        <v>2.58</v>
      </c>
      <c r="F56" s="26">
        <f>Розрахунок!$C56*Розрахунок!$E56/Розрахунок!$D56</f>
        <v>0</v>
      </c>
    </row>
    <row r="57" spans="1:6" ht="31.5" outlineLevel="1" x14ac:dyDescent="0.25">
      <c r="A57" s="15" t="s">
        <v>236</v>
      </c>
      <c r="B57" s="16" t="s">
        <v>101</v>
      </c>
      <c r="C57" s="24">
        <f>VLOOKUP("PR.I.3.04",PR_Plan[],3,FALSE)</f>
        <v>0</v>
      </c>
      <c r="D57" s="20">
        <v>1</v>
      </c>
      <c r="E57" s="20">
        <v>1</v>
      </c>
      <c r="F57" s="26">
        <f>Розрахунок!$C57*Розрахунок!$E57/Розрахунок!$D57</f>
        <v>0</v>
      </c>
    </row>
    <row r="58" spans="1:6" ht="47.25" outlineLevel="1" x14ac:dyDescent="0.25">
      <c r="A58" s="15" t="s">
        <v>237</v>
      </c>
      <c r="B58" s="16" t="s">
        <v>103</v>
      </c>
      <c r="C58" s="24">
        <f>VLOOKUP("PR.I.3.05.1",PR_Plan[],3,FALSE)</f>
        <v>0</v>
      </c>
      <c r="D58" s="20">
        <v>0.6</v>
      </c>
      <c r="E58" s="20">
        <v>18</v>
      </c>
      <c r="F58" s="26">
        <f>Розрахунок!$C58*Розрахунок!$E58/Розрахунок!$D58</f>
        <v>0</v>
      </c>
    </row>
    <row r="59" spans="1:6" ht="47.25" outlineLevel="1" x14ac:dyDescent="0.25">
      <c r="A59" s="15" t="s">
        <v>238</v>
      </c>
      <c r="B59" s="16" t="s">
        <v>105</v>
      </c>
      <c r="C59" s="24">
        <f>VLOOKUP("PR.I.3.05.2",PR_Plan[],3,FALSE)</f>
        <v>0</v>
      </c>
      <c r="D59" s="20">
        <v>0.6</v>
      </c>
      <c r="E59" s="20">
        <v>13.5</v>
      </c>
      <c r="F59" s="26">
        <f>Розрахунок!$C59*Розрахунок!$E59/Розрахунок!$D59</f>
        <v>0</v>
      </c>
    </row>
    <row r="60" spans="1:6" ht="47.25" outlineLevel="1" x14ac:dyDescent="0.25">
      <c r="A60" s="15" t="s">
        <v>239</v>
      </c>
      <c r="B60" s="16" t="s">
        <v>107</v>
      </c>
      <c r="C60" s="24">
        <f>VLOOKUP("PR.I.3.05.3",PR_Plan[],3,FALSE)</f>
        <v>0</v>
      </c>
      <c r="D60" s="20">
        <v>0.6</v>
      </c>
      <c r="E60" s="20">
        <v>6.75</v>
      </c>
      <c r="F60" s="26">
        <f>Розрахунок!$C60*Розрахунок!$E60/Розрахунок!$D60</f>
        <v>0</v>
      </c>
    </row>
    <row r="61" spans="1:6" ht="47.25" outlineLevel="1" x14ac:dyDescent="0.25">
      <c r="A61" s="15" t="s">
        <v>240</v>
      </c>
      <c r="B61" s="16" t="s">
        <v>109</v>
      </c>
      <c r="C61" s="24">
        <f>VLOOKUP("PR.I.3.05.4",PR_Plan[],3,FALSE)</f>
        <v>0</v>
      </c>
      <c r="D61" s="20">
        <v>0.6</v>
      </c>
      <c r="E61" s="20">
        <v>3.38</v>
      </c>
      <c r="F61" s="26">
        <f>Розрахунок!$C61*Розрахунок!$E61/Розрахунок!$D61</f>
        <v>0</v>
      </c>
    </row>
    <row r="62" spans="1:6" ht="47.25" outlineLevel="1" x14ac:dyDescent="0.25">
      <c r="A62" s="15" t="s">
        <v>241</v>
      </c>
      <c r="B62" s="16" t="s">
        <v>111</v>
      </c>
      <c r="C62" s="24">
        <f>VLOOKUP("PR.I.3.05.5",PR_Plan[],3,FALSE)</f>
        <v>0</v>
      </c>
      <c r="D62" s="20">
        <v>0.6</v>
      </c>
      <c r="E62" s="20">
        <v>2.25</v>
      </c>
      <c r="F62" s="26">
        <f>Розрахунок!$C62*Розрахунок!$E62/Розрахунок!$D62</f>
        <v>0</v>
      </c>
    </row>
    <row r="63" spans="1:6" ht="31.5" outlineLevel="1" x14ac:dyDescent="0.25">
      <c r="A63" s="15" t="s">
        <v>242</v>
      </c>
      <c r="B63" s="16" t="s">
        <v>113</v>
      </c>
      <c r="C63" s="24">
        <f>VLOOKUP("PR.I.3.05.6",PR_Plan[],3,FALSE)</f>
        <v>0</v>
      </c>
      <c r="D63" s="20">
        <v>0.6</v>
      </c>
      <c r="E63" s="20">
        <v>67.5</v>
      </c>
      <c r="F63" s="26">
        <f>Розрахунок!$C63*Розрахунок!$E63/Розрахунок!$D63</f>
        <v>0</v>
      </c>
    </row>
    <row r="64" spans="1:6" ht="47.25" outlineLevel="1" x14ac:dyDescent="0.25">
      <c r="A64" s="15" t="s">
        <v>243</v>
      </c>
      <c r="B64" s="16" t="s">
        <v>115</v>
      </c>
      <c r="C64" s="24">
        <f>VLOOKUP("PR.I.3.06",PR_Plan[],3,FALSE)</f>
        <v>0</v>
      </c>
      <c r="D64" s="20">
        <v>0.3</v>
      </c>
      <c r="E64" s="20">
        <v>0.75</v>
      </c>
      <c r="F64" s="26">
        <f>Розрахунок!$C64*Розрахунок!$E64/Розрахунок!$D64</f>
        <v>0</v>
      </c>
    </row>
    <row r="65" spans="1:6" ht="31.5" outlineLevel="1" x14ac:dyDescent="0.25">
      <c r="A65" s="15" t="s">
        <v>244</v>
      </c>
      <c r="B65" s="16" t="s">
        <v>117</v>
      </c>
      <c r="C65" s="24">
        <f>VLOOKUP("PR.I.3.07.1",PR_Plan[],3,FALSE)</f>
        <v>0</v>
      </c>
      <c r="D65" s="20">
        <v>0.1</v>
      </c>
      <c r="E65" s="20">
        <v>0.1</v>
      </c>
      <c r="F65" s="26">
        <f>Розрахунок!$C65*Розрахунок!$E65/Розрахунок!$D65</f>
        <v>0</v>
      </c>
    </row>
    <row r="66" spans="1:6" ht="34.5" customHeight="1" outlineLevel="1" x14ac:dyDescent="0.25">
      <c r="A66" s="15" t="s">
        <v>245</v>
      </c>
      <c r="B66" s="16" t="s">
        <v>119</v>
      </c>
      <c r="C66" s="24">
        <f>VLOOKUP("PR.I.3.07.2",PR_Plan[],3,FALSE)</f>
        <v>0</v>
      </c>
      <c r="D66" s="20">
        <v>0.1</v>
      </c>
      <c r="E66" s="20">
        <v>0.1</v>
      </c>
      <c r="F66" s="26">
        <f>Розрахунок!$C66*Розрахунок!$E66/Розрахунок!$D66</f>
        <v>0</v>
      </c>
    </row>
    <row r="67" spans="1:6" ht="47.25" outlineLevel="1" x14ac:dyDescent="0.25">
      <c r="A67" s="15" t="s">
        <v>246</v>
      </c>
      <c r="B67" s="16" t="s">
        <v>292</v>
      </c>
      <c r="C67" s="24">
        <f>VLOOKUP("PR.I.3.07.3",PR_Plan[],3,FALSE)</f>
        <v>0</v>
      </c>
      <c r="D67" s="20">
        <v>0.1</v>
      </c>
      <c r="E67" s="20">
        <v>0.1</v>
      </c>
      <c r="F67" s="26">
        <f>Розрахунок!$C67*Розрахунок!$E67/Розрахунок!$D67</f>
        <v>0</v>
      </c>
    </row>
    <row r="68" spans="1:6" ht="47.25" outlineLevel="1" x14ac:dyDescent="0.25">
      <c r="A68" s="15" t="s">
        <v>247</v>
      </c>
      <c r="B68" s="16" t="s">
        <v>293</v>
      </c>
      <c r="C68" s="24">
        <f>VLOOKUP("PR.I.3.07.4",PR_Plan[],3,FALSE)</f>
        <v>0</v>
      </c>
      <c r="D68" s="20">
        <v>0.1</v>
      </c>
      <c r="E68" s="20">
        <v>0.1</v>
      </c>
      <c r="F68" s="26">
        <f>Розрахунок!$C68*Розрахунок!$E68/Розрахунок!$D68</f>
        <v>0</v>
      </c>
    </row>
    <row r="69" spans="1:6" ht="47.25" outlineLevel="1" x14ac:dyDescent="0.25">
      <c r="A69" s="15" t="s">
        <v>248</v>
      </c>
      <c r="B69" s="16" t="s">
        <v>294</v>
      </c>
      <c r="C69" s="24">
        <f>VLOOKUP("PR.I.3.07.5",PR_Plan[],3,FALSE)</f>
        <v>0</v>
      </c>
      <c r="D69" s="20">
        <v>0.1</v>
      </c>
      <c r="E69" s="20">
        <v>0.1</v>
      </c>
      <c r="F69" s="26">
        <f>Розрахунок!$C69*Розрахунок!$E69/Розрахунок!$D69</f>
        <v>0</v>
      </c>
    </row>
    <row r="70" spans="1:6" ht="47.25" outlineLevel="1" x14ac:dyDescent="0.25">
      <c r="A70" s="15" t="s">
        <v>249</v>
      </c>
      <c r="B70" s="16" t="s">
        <v>295</v>
      </c>
      <c r="C70" s="24">
        <f>VLOOKUP("PR.I.3.07.6",PR_Plan[],3,FALSE)</f>
        <v>0</v>
      </c>
      <c r="D70" s="20">
        <v>0.1</v>
      </c>
      <c r="E70" s="20">
        <v>0.1</v>
      </c>
      <c r="F70" s="26">
        <f>Розрахунок!$C70*Розрахунок!$E70/Розрахунок!$D70</f>
        <v>0</v>
      </c>
    </row>
    <row r="71" spans="1:6" ht="47.25" outlineLevel="1" x14ac:dyDescent="0.25">
      <c r="A71" s="15" t="s">
        <v>250</v>
      </c>
      <c r="B71" s="16" t="s">
        <v>296</v>
      </c>
      <c r="C71" s="24">
        <f>VLOOKUP("PR.I.3.07.7",PR_Plan[],3,FALSE)</f>
        <v>0</v>
      </c>
      <c r="D71" s="20">
        <v>0.1</v>
      </c>
      <c r="E71" s="20">
        <v>0.1</v>
      </c>
      <c r="F71" s="26">
        <f>Розрахунок!$C71*Розрахунок!$E71/Розрахунок!$D71</f>
        <v>0</v>
      </c>
    </row>
    <row r="72" spans="1:6" ht="31.5" outlineLevel="1" x14ac:dyDescent="0.25">
      <c r="A72" s="15" t="s">
        <v>251</v>
      </c>
      <c r="B72" s="16" t="s">
        <v>126</v>
      </c>
      <c r="C72" s="24">
        <f>VLOOKUP("PR.I.3.08.1",PR_Plan[],3,FALSE)</f>
        <v>0</v>
      </c>
      <c r="D72" s="20">
        <v>0.19</v>
      </c>
      <c r="E72" s="20">
        <v>0.08</v>
      </c>
      <c r="F72" s="26">
        <f>Розрахунок!$C72*Розрахунок!$E72/Розрахунок!$D72</f>
        <v>0</v>
      </c>
    </row>
    <row r="73" spans="1:6" ht="31.5" outlineLevel="1" x14ac:dyDescent="0.25">
      <c r="A73" s="15" t="s">
        <v>252</v>
      </c>
      <c r="B73" s="16" t="s">
        <v>128</v>
      </c>
      <c r="C73" s="24">
        <f>VLOOKUP("PR.I.3.08.2",PR_Plan[],3,FALSE)</f>
        <v>0</v>
      </c>
      <c r="D73" s="20">
        <v>0.19</v>
      </c>
      <c r="E73" s="20">
        <v>0.16</v>
      </c>
      <c r="F73" s="26">
        <f>Розрахунок!$C73*Розрахунок!$E73/Розрахунок!$D73</f>
        <v>0</v>
      </c>
    </row>
    <row r="74" spans="1:6" ht="47.25" outlineLevel="1" x14ac:dyDescent="0.25">
      <c r="A74" s="15" t="s">
        <v>253</v>
      </c>
      <c r="B74" s="16" t="s">
        <v>130</v>
      </c>
      <c r="C74" s="24">
        <f>VLOOKUP("PR.I.3.08.3",PR_Plan[],3,FALSE)</f>
        <v>0</v>
      </c>
      <c r="D74" s="20">
        <v>0.19</v>
      </c>
      <c r="E74" s="20">
        <v>0.8</v>
      </c>
      <c r="F74" s="26">
        <f>Розрахунок!$C74*Розрахунок!$E74/Розрахунок!$D74</f>
        <v>0</v>
      </c>
    </row>
    <row r="75" spans="1:6" ht="66.75" customHeight="1" outlineLevel="1" x14ac:dyDescent="0.25">
      <c r="A75" s="15" t="s">
        <v>254</v>
      </c>
      <c r="B75" s="16" t="s">
        <v>290</v>
      </c>
      <c r="C75" s="24">
        <f>VLOOKUP("PR.I.3.08.4",PR_Plan[],3,FALSE)</f>
        <v>0</v>
      </c>
      <c r="D75" s="20">
        <v>0.19</v>
      </c>
      <c r="E75" s="20">
        <v>1.6</v>
      </c>
      <c r="F75" s="26">
        <f>Розрахунок!$C75*Розрахунок!$E75/Розрахунок!$D75</f>
        <v>0</v>
      </c>
    </row>
    <row r="76" spans="1:6" ht="31.5" outlineLevel="1" x14ac:dyDescent="0.25">
      <c r="A76" s="15" t="s">
        <v>255</v>
      </c>
      <c r="B76" s="16" t="s">
        <v>133</v>
      </c>
      <c r="C76" s="24">
        <f>VLOOKUP("PR.I.3.08.5",PR_Plan[],3,FALSE)</f>
        <v>0</v>
      </c>
      <c r="D76" s="20">
        <v>0.19</v>
      </c>
      <c r="E76" s="20">
        <v>2.4</v>
      </c>
      <c r="F76" s="26">
        <f>Розрахунок!$C76*Розрахунок!$E76/Розрахунок!$D76</f>
        <v>0</v>
      </c>
    </row>
    <row r="77" spans="1:6" ht="31.5" outlineLevel="1" x14ac:dyDescent="0.25">
      <c r="A77" s="15" t="s">
        <v>256</v>
      </c>
      <c r="B77" s="16" t="s">
        <v>135</v>
      </c>
      <c r="C77" s="24">
        <f>VLOOKUP("PR.I.3.08.6",PR_Plan[],3,FALSE)</f>
        <v>0</v>
      </c>
      <c r="D77" s="20">
        <v>0.19</v>
      </c>
      <c r="E77" s="20">
        <v>3.2</v>
      </c>
      <c r="F77" s="26">
        <f>Розрахунок!$C77*Розрахунок!$E77/Розрахунок!$D77</f>
        <v>0</v>
      </c>
    </row>
    <row r="78" spans="1:6" ht="47.25" outlineLevel="1" x14ac:dyDescent="0.25">
      <c r="A78" s="15" t="s">
        <v>257</v>
      </c>
      <c r="B78" s="16" t="s">
        <v>298</v>
      </c>
      <c r="C78" s="24">
        <f>VLOOKUP("PR.I.3.09.1",PR_Plan[],3,FALSE)</f>
        <v>0</v>
      </c>
      <c r="D78" s="20">
        <v>4.5999999999999999E-2</v>
      </c>
      <c r="E78" s="20">
        <v>1</v>
      </c>
      <c r="F78" s="26">
        <f>Розрахунок!$C78*Розрахунок!$E78/Розрахунок!$D78</f>
        <v>0</v>
      </c>
    </row>
    <row r="79" spans="1:6" ht="47.25" outlineLevel="1" x14ac:dyDescent="0.25">
      <c r="A79" s="15" t="s">
        <v>258</v>
      </c>
      <c r="B79" s="16" t="s">
        <v>297</v>
      </c>
      <c r="C79" s="24">
        <f>VLOOKUP("PR.I.3.09.2",PR_Plan[],3,FALSE)</f>
        <v>0</v>
      </c>
      <c r="D79" s="20">
        <v>4.5999999999999999E-2</v>
      </c>
      <c r="E79" s="20">
        <v>0.5</v>
      </c>
      <c r="F79" s="26">
        <f>Розрахунок!$C79*Розрахунок!$E79/Розрахунок!$D79</f>
        <v>0</v>
      </c>
    </row>
    <row r="80" spans="1:6" ht="47.25" outlineLevel="1" x14ac:dyDescent="0.25">
      <c r="A80" s="15" t="s">
        <v>259</v>
      </c>
      <c r="B80" s="16" t="s">
        <v>299</v>
      </c>
      <c r="C80" s="24">
        <f>VLOOKUP("PR.I.3.09.3",PR_Plan[],3,FALSE)</f>
        <v>0</v>
      </c>
      <c r="D80" s="20">
        <v>4.5999999999999999E-2</v>
      </c>
      <c r="E80" s="20">
        <v>0.5</v>
      </c>
      <c r="F80" s="26">
        <f>Розрахунок!$C80*Розрахунок!$E80/Розрахунок!$D80</f>
        <v>0</v>
      </c>
    </row>
    <row r="81" spans="1:6" ht="47.25" outlineLevel="1" x14ac:dyDescent="0.25">
      <c r="A81" s="15" t="s">
        <v>260</v>
      </c>
      <c r="B81" s="18" t="s">
        <v>283</v>
      </c>
      <c r="C81" s="24">
        <f>VLOOKUP("PR.I.3.10.1",PR_Plan[],3,FALSE)</f>
        <v>0</v>
      </c>
      <c r="D81" s="20">
        <v>4.5999999999999999E-2</v>
      </c>
      <c r="E81" s="20">
        <v>0.8</v>
      </c>
      <c r="F81" s="26">
        <f>Розрахунок!$C81*Розрахунок!$E81/Розрахунок!$D81</f>
        <v>0</v>
      </c>
    </row>
    <row r="82" spans="1:6" ht="47.25" outlineLevel="1" x14ac:dyDescent="0.25">
      <c r="A82" s="15" t="s">
        <v>301</v>
      </c>
      <c r="B82" s="18" t="s">
        <v>284</v>
      </c>
      <c r="C82" s="24">
        <f>VLOOKUP("PR.I.3.10.4",PR_Plan[],3,FALSE)</f>
        <v>0</v>
      </c>
      <c r="D82" s="20">
        <v>4.5999999999999999E-2</v>
      </c>
      <c r="E82" s="20">
        <v>0.4</v>
      </c>
      <c r="F82" s="26">
        <f>Розрахунок!$C82*Розрахунок!$E82/Розрахунок!$D82</f>
        <v>0</v>
      </c>
    </row>
    <row r="83" spans="1:6" ht="47.25" outlineLevel="1" x14ac:dyDescent="0.25">
      <c r="A83" s="15" t="s">
        <v>261</v>
      </c>
      <c r="B83" s="18" t="s">
        <v>285</v>
      </c>
      <c r="C83" s="24">
        <f>VLOOKUP("PR.I.3.10.2",PR_Plan[],3,FALSE)</f>
        <v>0</v>
      </c>
      <c r="D83" s="20">
        <v>4.5999999999999999E-2</v>
      </c>
      <c r="E83" s="20">
        <v>0.1</v>
      </c>
      <c r="F83" s="26">
        <f>Розрахунок!$C83*Розрахунок!$E83/Розрахунок!$D83</f>
        <v>0</v>
      </c>
    </row>
    <row r="84" spans="1:6" ht="47.25" outlineLevel="1" x14ac:dyDescent="0.25">
      <c r="A84" s="15" t="s">
        <v>302</v>
      </c>
      <c r="B84" s="18" t="s">
        <v>286</v>
      </c>
      <c r="C84" s="24">
        <f>VLOOKUP("PR.I.3.10.5",PR_Plan[],3,FALSE)</f>
        <v>0</v>
      </c>
      <c r="D84" s="20">
        <v>4.5999999999999999E-2</v>
      </c>
      <c r="E84" s="20">
        <v>0.05</v>
      </c>
      <c r="F84" s="26">
        <f>Розрахунок!$C84*Розрахунок!$E84/Розрахунок!$D84</f>
        <v>0</v>
      </c>
    </row>
    <row r="85" spans="1:6" ht="47.25" outlineLevel="1" x14ac:dyDescent="0.25">
      <c r="A85" s="15" t="s">
        <v>262</v>
      </c>
      <c r="B85" s="18" t="s">
        <v>287</v>
      </c>
      <c r="C85" s="24">
        <f>VLOOKUP("PR.I.3.10.3",PR_Plan[],3,FALSE)</f>
        <v>0</v>
      </c>
      <c r="D85" s="20">
        <v>4.5999999999999999E-2</v>
      </c>
      <c r="E85" s="20">
        <v>1</v>
      </c>
      <c r="F85" s="26">
        <f>Розрахунок!$C85*Розрахунок!$E85/Розрахунок!$D85</f>
        <v>0</v>
      </c>
    </row>
    <row r="86" spans="1:6" ht="47.25" outlineLevel="1" x14ac:dyDescent="0.25">
      <c r="A86" s="15" t="s">
        <v>303</v>
      </c>
      <c r="B86" s="18" t="s">
        <v>288</v>
      </c>
      <c r="C86" s="24">
        <f>VLOOKUP("PR.I.3.10.6",PR_Plan[],3,FALSE)</f>
        <v>0</v>
      </c>
      <c r="D86" s="20">
        <v>4.5999999999999999E-2</v>
      </c>
      <c r="E86" s="20">
        <v>1</v>
      </c>
      <c r="F86" s="26">
        <f>Розрахунок!$C86*Розрахунок!$E86/Розрахунок!$D86</f>
        <v>0</v>
      </c>
    </row>
    <row r="87" spans="1:6" ht="47.25" outlineLevel="1" x14ac:dyDescent="0.25">
      <c r="A87" s="15" t="s">
        <v>263</v>
      </c>
      <c r="B87" s="16" t="s">
        <v>289</v>
      </c>
      <c r="C87" s="24">
        <f>VLOOKUP("PR.I.3.13",PR_Plan[],3,FALSE)</f>
        <v>0</v>
      </c>
      <c r="D87" s="20">
        <v>5.4999999999999997E-3</v>
      </c>
      <c r="E87" s="20">
        <v>0.03</v>
      </c>
      <c r="F87" s="26">
        <f>Розрахунок!$C87*Розрахунок!$E87/Розрахунок!$D87</f>
        <v>0</v>
      </c>
    </row>
    <row r="88" spans="1:6" x14ac:dyDescent="0.25">
      <c r="A88" s="28" t="s">
        <v>273</v>
      </c>
      <c r="B88" s="17" t="s">
        <v>172</v>
      </c>
      <c r="C88" s="25"/>
      <c r="D88" s="22"/>
      <c r="E88" s="22"/>
      <c r="F88" s="31">
        <f>SUM(F89:F93)</f>
        <v>0</v>
      </c>
    </row>
    <row r="89" spans="1:6" ht="47.25" outlineLevel="1" x14ac:dyDescent="0.25">
      <c r="A89" s="15" t="s">
        <v>264</v>
      </c>
      <c r="B89" s="16" t="s">
        <v>300</v>
      </c>
      <c r="C89" s="24">
        <f>VLOOKUP("PR.I.4.05.1",PR_Plan[],3,FALSE)</f>
        <v>0</v>
      </c>
      <c r="D89" s="20">
        <v>8.5000000000000006E-2</v>
      </c>
      <c r="E89" s="20">
        <v>0.15</v>
      </c>
      <c r="F89" s="26">
        <f>Розрахунок!$C89*Розрахунок!$E89/Розрахунок!$D89</f>
        <v>0</v>
      </c>
    </row>
    <row r="90" spans="1:6" ht="47.25" outlineLevel="1" x14ac:dyDescent="0.25">
      <c r="A90" s="15" t="s">
        <v>265</v>
      </c>
      <c r="B90" s="16" t="s">
        <v>189</v>
      </c>
      <c r="C90" s="24">
        <f>VLOOKUP("PR.I.4.05.2",PR_Plan[],3,FALSE)</f>
        <v>0</v>
      </c>
      <c r="D90" s="20">
        <v>8.5000000000000006E-2</v>
      </c>
      <c r="E90" s="20">
        <v>0.7</v>
      </c>
      <c r="F90" s="26">
        <f>Розрахунок!$C90*Розрахунок!$E90/Розрахунок!$D90</f>
        <v>0</v>
      </c>
    </row>
    <row r="91" spans="1:6" ht="47.25" outlineLevel="1" x14ac:dyDescent="0.25">
      <c r="A91" s="15" t="s">
        <v>266</v>
      </c>
      <c r="B91" s="16" t="s">
        <v>146</v>
      </c>
      <c r="C91" s="24">
        <f>VLOOKUP("PR.I.4.06",PR_Plan[],3,FALSE)</f>
        <v>0</v>
      </c>
      <c r="D91" s="20">
        <v>3000</v>
      </c>
      <c r="E91" s="20">
        <v>1</v>
      </c>
      <c r="F91" s="26">
        <f>Розрахунок!$C91*Розрахунок!$E91/Розрахунок!$D91</f>
        <v>0</v>
      </c>
    </row>
    <row r="92" spans="1:6" ht="31.5" outlineLevel="1" x14ac:dyDescent="0.25">
      <c r="A92" s="15" t="s">
        <v>267</v>
      </c>
      <c r="B92" s="16" t="s">
        <v>173</v>
      </c>
      <c r="C92" s="24">
        <f>VLOOKUP("PR.I.4.08.1",PR_Plan[],3,FALSE)</f>
        <v>0</v>
      </c>
      <c r="D92" s="20">
        <v>2.7E-2</v>
      </c>
      <c r="E92" s="20">
        <v>0.2</v>
      </c>
      <c r="F92" s="26">
        <f>Розрахунок!$C92*Розрахунок!$E92/Розрахунок!$D92</f>
        <v>0</v>
      </c>
    </row>
    <row r="93" spans="1:6" ht="78.75" outlineLevel="1" x14ac:dyDescent="0.25">
      <c r="A93" s="15" t="s">
        <v>304</v>
      </c>
      <c r="B93" s="16" t="s">
        <v>190</v>
      </c>
      <c r="C93" s="24">
        <f>VLOOKUP("PR.I.4.09",PR_Plan[],3,FALSE)</f>
        <v>0</v>
      </c>
      <c r="D93" s="20">
        <v>1.2999999999999999E-3</v>
      </c>
      <c r="E93" s="20">
        <v>0.1</v>
      </c>
      <c r="F93" s="26">
        <f>Розрахунок!$C93*Розрахунок!$E93/Розрахунок!$D93</f>
        <v>0</v>
      </c>
    </row>
    <row r="94" spans="1:6" x14ac:dyDescent="0.25">
      <c r="A94" s="28" t="s">
        <v>274</v>
      </c>
      <c r="B94" s="17" t="s">
        <v>174</v>
      </c>
      <c r="C94" s="25"/>
      <c r="D94" s="22"/>
      <c r="E94" s="22"/>
      <c r="F94" s="31">
        <f>SUM(F95:F95)</f>
        <v>0</v>
      </c>
    </row>
    <row r="95" spans="1:6" outlineLevel="1" x14ac:dyDescent="0.25">
      <c r="A95" s="15" t="s">
        <v>269</v>
      </c>
      <c r="B95" s="16" t="s">
        <v>268</v>
      </c>
      <c r="C95" s="46"/>
      <c r="D95" s="20"/>
      <c r="E95" s="20"/>
      <c r="F95" s="26">
        <f>C95</f>
        <v>0</v>
      </c>
    </row>
  </sheetData>
  <sheetProtection algorithmName="SHA-512" hashValue="nUgRPspU2aICMfCk2MSGlj8FXWzmlUeSWcaFK85nlkVR5ZwNVzn7/PLelyFtLGADPfZJl/aSs/sKjb44B/X6Yg==" saltValue="OXNXxM1NsUs5bty7cScXrQ==" spinCount="100000" sheet="1" objects="1" scenarios="1" autoFilter="0"/>
  <dataValidations count="2">
    <dataValidation type="whole" allowBlank="1" showInputMessage="1" showErrorMessage="1" errorTitle="Помилка вводу" error="Значення має бути 0 або 1" sqref="D25:D34" xr:uid="{7EE29983-5897-4A82-8403-C7D2570ED83F}">
      <formula1>0</formula1>
      <formula2>1</formula2>
    </dataValidation>
    <dataValidation type="whole" allowBlank="1" showInputMessage="1" showErrorMessage="1" error="Значення має бути від 0 до 10" sqref="C95" xr:uid="{40729312-D98A-4037-A988-5860EF2B1E63}">
      <formula1>0</formula1>
      <formula2>10</formula2>
    </dataValidation>
  </dataValidations>
  <pageMargins left="0.23622047244094491" right="0.23622047244094491" top="0.74803149606299213" bottom="0.74803149606299213" header="0.31496062992125984" footer="0.31496062992125984"/>
  <pageSetup paperSize="9" orientation="landscape" verticalDpi="0" r:id="rId1"/>
  <headerFooter>
    <oddFooter>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План</vt:lpstr>
      <vt:lpstr>Розрахунок</vt:lpstr>
      <vt:lpstr>План!Print_Titles</vt:lpstr>
      <vt:lpstr>Розрахунок!Print_Titles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oksana</dc:creator>
  <cp:lastModifiedBy>oksana</cp:lastModifiedBy>
  <cp:lastPrinted>2022-03-22T22:43:46Z</cp:lastPrinted>
  <dcterms:created xsi:type="dcterms:W3CDTF">2022-03-09T13:20:58Z</dcterms:created>
  <dcterms:modified xsi:type="dcterms:W3CDTF">2024-03-19T10:37:33Z</dcterms:modified>
</cp:coreProperties>
</file>